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3_ncr:1_{7FFDC3E2-74BE-4295-8815-D4994F424A24}" xr6:coauthVersionLast="47" xr6:coauthVersionMax="47" xr10:uidLastSave="{00000000-0000-0000-0000-000000000000}"/>
  <bookViews>
    <workbookView xWindow="-120" yWindow="-120" windowWidth="29040" windowHeight="15840" xr2:uid="{FAAD8B0D-2E47-440B-8A16-83994FD74F9C}"/>
  </bookViews>
  <sheets>
    <sheet name="2565" sheetId="1" r:id="rId1"/>
    <sheet name="2564" sheetId="3" r:id="rId2"/>
    <sheet name="2563" sheetId="5" r:id="rId3"/>
    <sheet name="2562" sheetId="7" r:id="rId4"/>
    <sheet name="2561" sheetId="8" r:id="rId5"/>
    <sheet name="อาจารย์" sheetId="9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8" l="1"/>
  <c r="M24" i="8"/>
  <c r="M23" i="8"/>
  <c r="M22" i="8"/>
  <c r="M21" i="8"/>
  <c r="M20" i="8"/>
  <c r="M19" i="8"/>
  <c r="M18" i="8"/>
  <c r="M17" i="8"/>
  <c r="M13" i="8"/>
  <c r="M12" i="8"/>
  <c r="M11" i="8"/>
  <c r="M10" i="8"/>
  <c r="M9" i="8"/>
  <c r="M8" i="8"/>
  <c r="M7" i="8"/>
  <c r="M6" i="8"/>
  <c r="M5" i="8"/>
  <c r="M4" i="8"/>
  <c r="D25" i="8"/>
  <c r="D24" i="8"/>
  <c r="D23" i="8"/>
  <c r="D22" i="8"/>
  <c r="D21" i="8"/>
  <c r="D20" i="8"/>
  <c r="D19" i="8"/>
  <c r="D18" i="8"/>
  <c r="D17" i="8"/>
  <c r="D13" i="8"/>
  <c r="D12" i="8"/>
  <c r="D11" i="8"/>
  <c r="D10" i="8"/>
  <c r="D9" i="8"/>
  <c r="D8" i="8"/>
  <c r="D7" i="8"/>
  <c r="D6" i="8"/>
  <c r="D5" i="8"/>
  <c r="D4" i="8"/>
  <c r="M25" i="7"/>
  <c r="M24" i="7"/>
  <c r="M23" i="7"/>
  <c r="M22" i="7"/>
  <c r="M21" i="7"/>
  <c r="M20" i="7"/>
  <c r="M19" i="7"/>
  <c r="M18" i="7"/>
  <c r="M17" i="7"/>
  <c r="M13" i="7"/>
  <c r="M12" i="7"/>
  <c r="M11" i="7"/>
  <c r="M10" i="7"/>
  <c r="M9" i="7"/>
  <c r="M8" i="7"/>
  <c r="M7" i="7"/>
  <c r="M6" i="7"/>
  <c r="M5" i="7"/>
  <c r="M4" i="7"/>
  <c r="D25" i="7"/>
  <c r="D24" i="7"/>
  <c r="D23" i="7"/>
  <c r="D22" i="7"/>
  <c r="D21" i="7"/>
  <c r="D20" i="7"/>
  <c r="D19" i="7"/>
  <c r="D18" i="7"/>
  <c r="D17" i="7"/>
  <c r="D13" i="7"/>
  <c r="D12" i="7"/>
  <c r="D11" i="7"/>
  <c r="D10" i="7"/>
  <c r="D9" i="7"/>
  <c r="D8" i="7"/>
  <c r="D7" i="7"/>
  <c r="D6" i="7"/>
  <c r="D5" i="7"/>
  <c r="D4" i="7"/>
  <c r="M25" i="5"/>
  <c r="M24" i="5"/>
  <c r="M23" i="5"/>
  <c r="M22" i="5"/>
  <c r="M21" i="5"/>
  <c r="M20" i="5"/>
  <c r="M19" i="5"/>
  <c r="M18" i="5"/>
  <c r="M17" i="5"/>
  <c r="M13" i="5"/>
  <c r="M12" i="5"/>
  <c r="M11" i="5"/>
  <c r="M10" i="5"/>
  <c r="M9" i="5"/>
  <c r="M8" i="5"/>
  <c r="M7" i="5"/>
  <c r="M6" i="5"/>
  <c r="M5" i="5"/>
  <c r="M4" i="5"/>
  <c r="D25" i="5"/>
  <c r="D24" i="5"/>
  <c r="D23" i="5"/>
  <c r="D22" i="5"/>
  <c r="D21" i="5"/>
  <c r="D20" i="5"/>
  <c r="D19" i="5"/>
  <c r="D18" i="5"/>
  <c r="D17" i="5"/>
  <c r="D13" i="5"/>
  <c r="D12" i="5"/>
  <c r="D11" i="5"/>
  <c r="D10" i="5"/>
  <c r="D9" i="5"/>
  <c r="D8" i="5"/>
  <c r="D7" i="5"/>
  <c r="D6" i="5"/>
  <c r="D5" i="5"/>
  <c r="D4" i="5"/>
  <c r="M25" i="3"/>
  <c r="M24" i="3"/>
  <c r="M23" i="3"/>
  <c r="M22" i="3"/>
  <c r="M21" i="3"/>
  <c r="M20" i="3"/>
  <c r="M19" i="3"/>
  <c r="M18" i="3"/>
  <c r="M17" i="3"/>
  <c r="M13" i="3"/>
  <c r="M12" i="3"/>
  <c r="M11" i="3"/>
  <c r="M10" i="3"/>
  <c r="M9" i="3"/>
  <c r="M8" i="3"/>
  <c r="M7" i="3"/>
  <c r="M6" i="3"/>
  <c r="M5" i="3"/>
  <c r="M4" i="3"/>
  <c r="D25" i="3"/>
  <c r="D24" i="3"/>
  <c r="D23" i="3"/>
  <c r="D22" i="3"/>
  <c r="D21" i="3"/>
  <c r="D20" i="3"/>
  <c r="D19" i="3"/>
  <c r="D18" i="3"/>
  <c r="D17" i="3"/>
  <c r="D13" i="3"/>
  <c r="D12" i="3"/>
  <c r="D11" i="3"/>
  <c r="D10" i="3"/>
  <c r="D9" i="3"/>
  <c r="D8" i="3"/>
  <c r="D7" i="3"/>
  <c r="D6" i="3"/>
  <c r="D5" i="3"/>
  <c r="D4" i="3"/>
  <c r="F25" i="1"/>
  <c r="F24" i="1"/>
  <c r="F23" i="1"/>
  <c r="F22" i="1"/>
  <c r="F21" i="1"/>
  <c r="F20" i="1"/>
  <c r="F19" i="1"/>
  <c r="F18" i="1"/>
  <c r="F17" i="1"/>
  <c r="F13" i="1"/>
  <c r="F12" i="1"/>
  <c r="F11" i="1"/>
  <c r="F10" i="1"/>
  <c r="F9" i="1"/>
  <c r="F8" i="1"/>
  <c r="F7" i="1"/>
  <c r="F6" i="1"/>
  <c r="F5" i="1"/>
  <c r="F4" i="1"/>
  <c r="F20" i="9"/>
  <c r="E20" i="9"/>
  <c r="D20" i="9"/>
  <c r="C20" i="9"/>
  <c r="B20" i="9"/>
  <c r="F15" i="9"/>
  <c r="E15" i="9"/>
  <c r="E3" i="9" s="1"/>
  <c r="D15" i="9"/>
  <c r="D3" i="9" s="1"/>
  <c r="C15" i="9"/>
  <c r="B15" i="9"/>
  <c r="F4" i="9"/>
  <c r="E4" i="9"/>
  <c r="D4" i="9"/>
  <c r="C4" i="9"/>
  <c r="B4" i="9"/>
  <c r="B3" i="9" s="1"/>
  <c r="F3" i="9" l="1"/>
  <c r="C3" i="9"/>
  <c r="J19" i="8"/>
  <c r="J7" i="8"/>
  <c r="J6" i="8"/>
  <c r="J8" i="8"/>
  <c r="I16" i="8"/>
  <c r="I24" i="8"/>
  <c r="I21" i="8"/>
  <c r="I22" i="8"/>
  <c r="I20" i="8"/>
  <c r="I25" i="8"/>
  <c r="I19" i="8"/>
  <c r="I10" i="8"/>
  <c r="I9" i="8"/>
  <c r="I7" i="8"/>
  <c r="I6" i="8"/>
  <c r="I8" i="8"/>
  <c r="B24" i="8"/>
  <c r="B21" i="8"/>
  <c r="B22" i="8"/>
  <c r="B20" i="8"/>
  <c r="B25" i="8"/>
  <c r="B19" i="8"/>
  <c r="B10" i="8"/>
  <c r="B9" i="8"/>
  <c r="B7" i="8"/>
  <c r="B6" i="8"/>
  <c r="B8" i="8"/>
  <c r="K25" i="8"/>
  <c r="L25" i="8" s="1"/>
  <c r="C25" i="8"/>
  <c r="K24" i="8"/>
  <c r="L24" i="8" s="1"/>
  <c r="C24" i="8"/>
  <c r="J23" i="8"/>
  <c r="I23" i="8"/>
  <c r="K22" i="8"/>
  <c r="L22" i="8" s="1"/>
  <c r="C22" i="8"/>
  <c r="K21" i="8"/>
  <c r="L21" i="8" s="1"/>
  <c r="C21" i="8"/>
  <c r="K20" i="8"/>
  <c r="L20" i="8" s="1"/>
  <c r="C20" i="8"/>
  <c r="K19" i="8"/>
  <c r="L19" i="8" s="1"/>
  <c r="C19" i="8"/>
  <c r="J18" i="8"/>
  <c r="I18" i="8"/>
  <c r="B18" i="8"/>
  <c r="C18" i="8" s="1"/>
  <c r="K17" i="8"/>
  <c r="L17" i="8" s="1"/>
  <c r="C17" i="8"/>
  <c r="K16" i="8"/>
  <c r="L16" i="8" s="1"/>
  <c r="C16" i="8"/>
  <c r="K15" i="8"/>
  <c r="L15" i="8" s="1"/>
  <c r="C15" i="8"/>
  <c r="K14" i="8"/>
  <c r="L14" i="8" s="1"/>
  <c r="C14" i="8"/>
  <c r="K13" i="8"/>
  <c r="L13" i="8" s="1"/>
  <c r="C13" i="8"/>
  <c r="K12" i="8"/>
  <c r="L12" i="8" s="1"/>
  <c r="C12" i="8"/>
  <c r="K11" i="8"/>
  <c r="L11" i="8" s="1"/>
  <c r="C11" i="8"/>
  <c r="K10" i="8"/>
  <c r="L10" i="8" s="1"/>
  <c r="C10" i="8"/>
  <c r="K9" i="8"/>
  <c r="L9" i="8" s="1"/>
  <c r="C9" i="8"/>
  <c r="K8" i="8"/>
  <c r="L8" i="8" s="1"/>
  <c r="C8" i="8"/>
  <c r="K7" i="8"/>
  <c r="L7" i="8" s="1"/>
  <c r="C7" i="8"/>
  <c r="K6" i="8"/>
  <c r="L6" i="8" s="1"/>
  <c r="C6" i="8"/>
  <c r="J5" i="8"/>
  <c r="I5" i="8"/>
  <c r="B5" i="8"/>
  <c r="C5" i="8" s="1"/>
  <c r="J11" i="7"/>
  <c r="J19" i="7"/>
  <c r="J7" i="7"/>
  <c r="J6" i="7"/>
  <c r="J8" i="7"/>
  <c r="I11" i="7"/>
  <c r="I24" i="7"/>
  <c r="I21" i="7"/>
  <c r="I22" i="7"/>
  <c r="I20" i="7"/>
  <c r="I25" i="7"/>
  <c r="I19" i="7"/>
  <c r="I9" i="7"/>
  <c r="I7" i="7"/>
  <c r="I6" i="7"/>
  <c r="I8" i="7"/>
  <c r="B11" i="7"/>
  <c r="B24" i="7"/>
  <c r="B21" i="7"/>
  <c r="B22" i="7"/>
  <c r="B20" i="7"/>
  <c r="B25" i="7"/>
  <c r="B19" i="7"/>
  <c r="B9" i="7"/>
  <c r="B7" i="7"/>
  <c r="B6" i="7"/>
  <c r="B8" i="7"/>
  <c r="K25" i="7"/>
  <c r="L25" i="7" s="1"/>
  <c r="C25" i="7"/>
  <c r="K24" i="7"/>
  <c r="L24" i="7" s="1"/>
  <c r="C24" i="7"/>
  <c r="J23" i="7"/>
  <c r="I23" i="7"/>
  <c r="K22" i="7"/>
  <c r="L22" i="7" s="1"/>
  <c r="C22" i="7"/>
  <c r="K21" i="7"/>
  <c r="L21" i="7" s="1"/>
  <c r="C21" i="7"/>
  <c r="K20" i="7"/>
  <c r="L20" i="7" s="1"/>
  <c r="C20" i="7"/>
  <c r="K19" i="7"/>
  <c r="L19" i="7" s="1"/>
  <c r="C19" i="7"/>
  <c r="J18" i="7"/>
  <c r="I18" i="7"/>
  <c r="B18" i="7"/>
  <c r="C18" i="7" s="1"/>
  <c r="K17" i="7"/>
  <c r="L17" i="7" s="1"/>
  <c r="C17" i="7"/>
  <c r="K16" i="7"/>
  <c r="L16" i="7" s="1"/>
  <c r="C16" i="7"/>
  <c r="K15" i="7"/>
  <c r="L15" i="7" s="1"/>
  <c r="C15" i="7"/>
  <c r="K14" i="7"/>
  <c r="L14" i="7" s="1"/>
  <c r="C14" i="7"/>
  <c r="K13" i="7"/>
  <c r="L13" i="7" s="1"/>
  <c r="C13" i="7"/>
  <c r="K12" i="7"/>
  <c r="L12" i="7" s="1"/>
  <c r="C12" i="7"/>
  <c r="K11" i="7"/>
  <c r="L11" i="7" s="1"/>
  <c r="C11" i="7"/>
  <c r="K10" i="7"/>
  <c r="L10" i="7" s="1"/>
  <c r="C10" i="7"/>
  <c r="K9" i="7"/>
  <c r="L9" i="7" s="1"/>
  <c r="C9" i="7"/>
  <c r="K8" i="7"/>
  <c r="L8" i="7" s="1"/>
  <c r="C8" i="7"/>
  <c r="J5" i="7"/>
  <c r="J4" i="7" s="1"/>
  <c r="K7" i="7"/>
  <c r="L7" i="7" s="1"/>
  <c r="C7" i="7"/>
  <c r="K6" i="7"/>
  <c r="L6" i="7" s="1"/>
  <c r="C6" i="7"/>
  <c r="I5" i="7"/>
  <c r="J11" i="5"/>
  <c r="J19" i="5"/>
  <c r="J9" i="5"/>
  <c r="J7" i="5"/>
  <c r="I7" i="5"/>
  <c r="I20" i="5"/>
  <c r="I11" i="5"/>
  <c r="I24" i="5"/>
  <c r="K24" i="5" s="1"/>
  <c r="L24" i="5" s="1"/>
  <c r="I21" i="5"/>
  <c r="I22" i="5"/>
  <c r="K22" i="5" s="1"/>
  <c r="L22" i="5" s="1"/>
  <c r="I25" i="5"/>
  <c r="I19" i="5"/>
  <c r="I10" i="5"/>
  <c r="K10" i="5" s="1"/>
  <c r="L10" i="5" s="1"/>
  <c r="I9" i="5"/>
  <c r="I6" i="5"/>
  <c r="I8" i="5"/>
  <c r="B11" i="3"/>
  <c r="B24" i="3"/>
  <c r="B21" i="3"/>
  <c r="B22" i="3"/>
  <c r="C22" i="3" s="1"/>
  <c r="B20" i="3"/>
  <c r="C20" i="3" s="1"/>
  <c r="B25" i="3"/>
  <c r="B19" i="3"/>
  <c r="C19" i="3" s="1"/>
  <c r="B9" i="3"/>
  <c r="B7" i="3"/>
  <c r="C7" i="3" s="1"/>
  <c r="B6" i="3"/>
  <c r="C6" i="3" s="1"/>
  <c r="B8" i="3"/>
  <c r="C8" i="3"/>
  <c r="C25" i="3"/>
  <c r="C24" i="3"/>
  <c r="C21" i="3"/>
  <c r="C17" i="3"/>
  <c r="C16" i="3"/>
  <c r="C15" i="3"/>
  <c r="C14" i="3"/>
  <c r="C13" i="3"/>
  <c r="C12" i="3"/>
  <c r="C11" i="3"/>
  <c r="C10" i="3"/>
  <c r="C9" i="3"/>
  <c r="B11" i="5"/>
  <c r="C11" i="5" s="1"/>
  <c r="B24" i="5"/>
  <c r="C24" i="5" s="1"/>
  <c r="B21" i="5"/>
  <c r="C21" i="5" s="1"/>
  <c r="B22" i="5"/>
  <c r="B20" i="5"/>
  <c r="B25" i="5"/>
  <c r="B19" i="5"/>
  <c r="C19" i="5" s="1"/>
  <c r="B10" i="5"/>
  <c r="B5" i="5" s="1"/>
  <c r="C5" i="5" s="1"/>
  <c r="B9" i="5"/>
  <c r="B7" i="5"/>
  <c r="C7" i="5" s="1"/>
  <c r="B6" i="5"/>
  <c r="C6" i="5" s="1"/>
  <c r="B8" i="5"/>
  <c r="C25" i="5"/>
  <c r="C22" i="5"/>
  <c r="C20" i="5"/>
  <c r="C17" i="5"/>
  <c r="C16" i="5"/>
  <c r="C15" i="5"/>
  <c r="C14" i="5"/>
  <c r="C13" i="5"/>
  <c r="C12" i="5"/>
  <c r="C10" i="5"/>
  <c r="C9" i="5"/>
  <c r="C8" i="5"/>
  <c r="K25" i="5"/>
  <c r="L25" i="5" s="1"/>
  <c r="J23" i="5"/>
  <c r="K21" i="5"/>
  <c r="L21" i="5" s="1"/>
  <c r="K20" i="5"/>
  <c r="L20" i="5" s="1"/>
  <c r="K19" i="5"/>
  <c r="L19" i="5" s="1"/>
  <c r="J18" i="5"/>
  <c r="I18" i="5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9" i="5"/>
  <c r="L9" i="5" s="1"/>
  <c r="K8" i="5"/>
  <c r="L8" i="5" s="1"/>
  <c r="K7" i="5"/>
  <c r="L7" i="5" s="1"/>
  <c r="K6" i="5"/>
  <c r="L6" i="5" s="1"/>
  <c r="J11" i="3"/>
  <c r="J19" i="3"/>
  <c r="J18" i="3" s="1"/>
  <c r="J9" i="3"/>
  <c r="J7" i="3"/>
  <c r="J6" i="3"/>
  <c r="I11" i="3"/>
  <c r="K11" i="3" s="1"/>
  <c r="I24" i="3"/>
  <c r="K24" i="3" s="1"/>
  <c r="L24" i="3" s="1"/>
  <c r="I21" i="3"/>
  <c r="I22" i="3"/>
  <c r="I20" i="3"/>
  <c r="K20" i="3" s="1"/>
  <c r="L20" i="3" s="1"/>
  <c r="I25" i="3"/>
  <c r="K25" i="3" s="1"/>
  <c r="I19" i="3"/>
  <c r="I9" i="3"/>
  <c r="K9" i="3" s="1"/>
  <c r="I7" i="3"/>
  <c r="I6" i="3"/>
  <c r="I8" i="3"/>
  <c r="K8" i="3" s="1"/>
  <c r="K21" i="3"/>
  <c r="L21" i="3" s="1"/>
  <c r="K22" i="3"/>
  <c r="L22" i="3" s="1"/>
  <c r="J23" i="3"/>
  <c r="K17" i="3"/>
  <c r="L17" i="3" s="1"/>
  <c r="K16" i="3"/>
  <c r="L16" i="3" s="1"/>
  <c r="K15" i="3"/>
  <c r="L15" i="3" s="1"/>
  <c r="K14" i="3"/>
  <c r="L14" i="3" s="1"/>
  <c r="K13" i="3"/>
  <c r="K12" i="3"/>
  <c r="L12" i="3" s="1"/>
  <c r="K10" i="3"/>
  <c r="L10" i="3" s="1"/>
  <c r="E25" i="1"/>
  <c r="E24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D25" i="1"/>
  <c r="D24" i="1"/>
  <c r="D22" i="1"/>
  <c r="D21" i="1"/>
  <c r="D20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C23" i="1"/>
  <c r="B23" i="1"/>
  <c r="C18" i="1"/>
  <c r="B18" i="1"/>
  <c r="B5" i="1"/>
  <c r="C5" i="1"/>
  <c r="J4" i="8" l="1"/>
  <c r="K23" i="8"/>
  <c r="L23" i="8" s="1"/>
  <c r="K5" i="8"/>
  <c r="L5" i="8" s="1"/>
  <c r="I4" i="8"/>
  <c r="K18" i="8"/>
  <c r="L18" i="8" s="1"/>
  <c r="B23" i="8"/>
  <c r="I4" i="7"/>
  <c r="K4" i="7" s="1"/>
  <c r="L4" i="7" s="1"/>
  <c r="K23" i="7"/>
  <c r="L23" i="7" s="1"/>
  <c r="K5" i="7"/>
  <c r="L5" i="7" s="1"/>
  <c r="B5" i="7"/>
  <c r="K18" i="7"/>
  <c r="L18" i="7" s="1"/>
  <c r="B23" i="7"/>
  <c r="C23" i="7" s="1"/>
  <c r="I23" i="5"/>
  <c r="B23" i="3"/>
  <c r="C23" i="3" s="1"/>
  <c r="B18" i="3"/>
  <c r="C18" i="3" s="1"/>
  <c r="B5" i="3"/>
  <c r="C5" i="3" s="1"/>
  <c r="K7" i="3"/>
  <c r="B23" i="5"/>
  <c r="C23" i="5" s="1"/>
  <c r="B18" i="5"/>
  <c r="C18" i="5" s="1"/>
  <c r="K18" i="5"/>
  <c r="L18" i="5" s="1"/>
  <c r="J5" i="5"/>
  <c r="J4" i="5" s="1"/>
  <c r="K23" i="5"/>
  <c r="L23" i="5" s="1"/>
  <c r="I5" i="5"/>
  <c r="J5" i="3"/>
  <c r="J4" i="3" s="1"/>
  <c r="I23" i="3"/>
  <c r="I18" i="3"/>
  <c r="K18" i="3" s="1"/>
  <c r="L18" i="3" s="1"/>
  <c r="L13" i="3"/>
  <c r="K6" i="3"/>
  <c r="L6" i="3" s="1"/>
  <c r="L11" i="3"/>
  <c r="K23" i="3"/>
  <c r="L23" i="3" s="1"/>
  <c r="L25" i="3"/>
  <c r="K19" i="3"/>
  <c r="L19" i="3" s="1"/>
  <c r="L9" i="3"/>
  <c r="L7" i="3"/>
  <c r="I5" i="3"/>
  <c r="L8" i="3"/>
  <c r="E23" i="1"/>
  <c r="C4" i="1"/>
  <c r="D5" i="1"/>
  <c r="D18" i="1"/>
  <c r="D23" i="1"/>
  <c r="E18" i="1"/>
  <c r="B4" i="1"/>
  <c r="E5" i="1"/>
  <c r="K4" i="8" l="1"/>
  <c r="L4" i="8" s="1"/>
  <c r="C23" i="8"/>
  <c r="B4" i="8"/>
  <c r="C4" i="8" s="1"/>
  <c r="C5" i="7"/>
  <c r="B4" i="7"/>
  <c r="C4" i="7" s="1"/>
  <c r="B4" i="3"/>
  <c r="C4" i="3" s="1"/>
  <c r="B4" i="5"/>
  <c r="C4" i="5" s="1"/>
  <c r="K5" i="5"/>
  <c r="L5" i="5" s="1"/>
  <c r="I4" i="5"/>
  <c r="K4" i="5" s="1"/>
  <c r="L4" i="5" s="1"/>
  <c r="I4" i="3"/>
  <c r="K4" i="3" s="1"/>
  <c r="K5" i="3"/>
  <c r="L5" i="3" s="1"/>
  <c r="D4" i="1"/>
  <c r="E4" i="1"/>
  <c r="L4" i="3" l="1"/>
</calcChain>
</file>

<file path=xl/sharedStrings.xml><?xml version="1.0" encoding="utf-8"?>
<sst xmlns="http://schemas.openxmlformats.org/spreadsheetml/2006/main" count="288" uniqueCount="46">
  <si>
    <t>ภาคเรียนที่ 1/2565</t>
  </si>
  <si>
    <t>ภาคเรียนที่ 2/2565</t>
  </si>
  <si>
    <t>คณะศึกษาศาสตร์</t>
  </si>
  <si>
    <t>คณะมนุษยศาสตร์และสังคมศาสตร์</t>
  </si>
  <si>
    <t>คณะเศรษฐศาสตร์และบริหารธุรกิจ</t>
  </si>
  <si>
    <t>คณะนิติศาสตร์</t>
  </si>
  <si>
    <t>คณะศิลปกรรมศาสตร์</t>
  </si>
  <si>
    <t>คณะวิทยาศาสตร์</t>
  </si>
  <si>
    <t>คณะวิทยาการสุขภาพและการกีฬา</t>
  </si>
  <si>
    <t>คณะเทคโนโลยีและการพัฒนาชุมชน</t>
  </si>
  <si>
    <t>คณะวิศวกรรมศาสตร์</t>
  </si>
  <si>
    <t>คณะพยาบาลศาสตร์</t>
  </si>
  <si>
    <t>คณะอุตสาหกรรมเกษตรและชีวภาพ</t>
  </si>
  <si>
    <t>วิทยาลัยการจัดการเพื่อการพัฒนา</t>
  </si>
  <si>
    <t>บัณฑิตวิทยาลัย</t>
  </si>
  <si>
    <t>วิทยาลัยนานาชาติ</t>
  </si>
  <si>
    <t>สำนักส่งเสริมการบริการวิชาการและภูมิปัญญาชุมชน</t>
  </si>
  <si>
    <t>สถาบันปฏิบัติการชุมชนเพื่อการศึกษาแบบบูรณาการ</t>
  </si>
  <si>
    <t>สำนักคอมพิวเตอร์</t>
  </si>
  <si>
    <t>มหาวิทยาลัยทักษิณ</t>
  </si>
  <si>
    <t>สาขามนุษยศาสตร์และสังคมศาสตร์</t>
  </si>
  <si>
    <t>สาขาวิทยาศาสตร์และเทคโนโลยี</t>
  </si>
  <si>
    <t>สาขาวิทยาศาสตร์สุขภาพ</t>
  </si>
  <si>
    <t>รวม</t>
  </si>
  <si>
    <t>ค่าเฉลี่ย</t>
  </si>
  <si>
    <t>ภาคปกติ</t>
  </si>
  <si>
    <t>อัตราส่วนของ FTES ต่ออาจารย์ประจำ</t>
  </si>
  <si>
    <t>ภาคสมทบ</t>
  </si>
  <si>
    <t>สถาบันทักษิณคดีศึกษา</t>
  </si>
  <si>
    <t>ภาคเรียนที่ 1+2+3</t>
  </si>
  <si>
    <t>ภาคเรียนที่ 1+2</t>
  </si>
  <si>
    <t>อัตราส่วนของนิสิตเต็มเวลา (FTES) ต่ออาจารย์ประจำ ปีการศึกษา 2561</t>
  </si>
  <si>
    <t>อัตราส่วนของนิสิตเต็มเวลา (FTES) ต่ออาจารย์ประจำ ปีการศึกษา 2562</t>
  </si>
  <si>
    <t>อัตราส่วนของนิสิตเต็มเวลา (FTES) ต่ออาจารย์ประจำ ปีการศึกษา 2563</t>
  </si>
  <si>
    <t>อัตราส่วนของนิสิตเต็มเวลา (FTES) ต่ออาจารย์ประจำ ปีการศึกษา 2564</t>
  </si>
  <si>
    <t>อัตราส่วนของนิสิตเต็มเวลา (FTES) ต่ออาจารย์ประจำ ปีการศึกษา 2565</t>
  </si>
  <si>
    <t>ฝ่ายวิชาการ</t>
  </si>
  <si>
    <t>สำนักงานมหาวิทยาลัย</t>
  </si>
  <si>
    <t>จำนวนอาจารย์มหาวิทยาลัยทักษิณ</t>
  </si>
  <si>
    <t>พ.ศ. 2561 ข้อมูลจากระบบประเมินคุณภาพการศึกษา (e-SAR) ปีการศึกษา 2561</t>
  </si>
  <si>
    <t>หมายเหตุ</t>
  </si>
  <si>
    <t>พ.ศ. 2562 ข้อมูลจากระบบประเมินคุณภาพการศึกษา (e-SAR) ปีการศึกษา 2562</t>
  </si>
  <si>
    <t>พ.ศ. 2563 ข้อมูลจากระบบประเมินคุณภาพการศึกษา (e-SAR) ปีการศึกษา 2563</t>
  </si>
  <si>
    <t>พ.ศ. 2564 ข้อมูลจากสถิติบุคลากรฝ่ายบริหารกลางฯ ณ เดือนมกราคม 2564</t>
  </si>
  <si>
    <t>พ.ศ. 2565 ข้อมูลจากสถิติบุคลากรฝ่ายบริหารกลางฯ ณ เดือนธันวาคม 2565</t>
  </si>
  <si>
    <t>จำนวนอาจารย์ประจำ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</si>
</sst>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" fontId="1" fillId="0" borderId="0" xfId="0" applyNumberFormat="1" applyFont="1"/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4" fillId="0" borderId="0" xfId="0" applyFont="1"/>
    <xf numFmtId="0" fontId="1" fillId="0" borderId="0" xfId="0" applyFont="1" applyAlignment="1">
      <alignment horizontal="left" indent="3"/>
    </xf>
    <xf numFmtId="4" fontId="3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CAF3-2283-48DD-8E92-40391D1152F5}">
  <dimension ref="A1:G25"/>
  <sheetViews>
    <sheetView tabSelected="1" zoomScale="80" zoomScaleNormal="80" workbookViewId="0">
      <selection activeCell="J10" sqref="J10"/>
    </sheetView>
  </sheetViews>
  <sheetFormatPr defaultRowHeight="24" x14ac:dyDescent="0.55000000000000004"/>
  <cols>
    <col min="1" max="1" width="37.75" style="1" bestFit="1" customWidth="1"/>
    <col min="2" max="6" width="16.625" style="1" customWidth="1"/>
    <col min="7" max="7" width="12.625" style="29" customWidth="1"/>
    <col min="8" max="8" width="10.625" style="1" customWidth="1"/>
    <col min="9" max="11" width="9" style="1" customWidth="1"/>
    <col min="12" max="16384" width="9" style="1"/>
  </cols>
  <sheetData>
    <row r="1" spans="1:7" ht="27.75" x14ac:dyDescent="0.65">
      <c r="A1" s="21" t="s">
        <v>35</v>
      </c>
      <c r="B1" s="21"/>
      <c r="C1" s="21"/>
      <c r="D1" s="21"/>
      <c r="E1" s="21"/>
      <c r="F1" s="21"/>
      <c r="G1" s="33"/>
    </row>
    <row r="2" spans="1:7" x14ac:dyDescent="0.55000000000000004">
      <c r="A2" s="2"/>
      <c r="B2" s="22" t="s">
        <v>25</v>
      </c>
      <c r="C2" s="23"/>
      <c r="D2" s="24" t="s">
        <v>23</v>
      </c>
      <c r="E2" s="24" t="s">
        <v>24</v>
      </c>
      <c r="F2" s="26" t="s">
        <v>26</v>
      </c>
      <c r="G2" s="34" t="s">
        <v>45</v>
      </c>
    </row>
    <row r="3" spans="1:7" x14ac:dyDescent="0.55000000000000004">
      <c r="A3" s="2"/>
      <c r="B3" s="3" t="s">
        <v>0</v>
      </c>
      <c r="C3" s="3" t="s">
        <v>1</v>
      </c>
      <c r="D3" s="25"/>
      <c r="E3" s="25"/>
      <c r="F3" s="27"/>
      <c r="G3" s="34"/>
    </row>
    <row r="4" spans="1:7" x14ac:dyDescent="0.55000000000000004">
      <c r="A4" s="4" t="s">
        <v>19</v>
      </c>
      <c r="B4" s="5">
        <f>SUM(B5,B18,B23)</f>
        <v>13421.67222222222</v>
      </c>
      <c r="C4" s="5">
        <f>SUM(C5,C18,C23)</f>
        <v>12278.861111111108</v>
      </c>
      <c r="D4" s="5">
        <f>SUM(B4:C4)</f>
        <v>25700.533333333326</v>
      </c>
      <c r="E4" s="5">
        <f>AVERAGE(B4:C4)</f>
        <v>12850.266666666663</v>
      </c>
      <c r="F4" s="5">
        <f>E4/G4</f>
        <v>25.598140770252318</v>
      </c>
      <c r="G4" s="30">
        <v>502</v>
      </c>
    </row>
    <row r="5" spans="1:7" x14ac:dyDescent="0.55000000000000004">
      <c r="A5" s="6" t="s">
        <v>20</v>
      </c>
      <c r="B5" s="6">
        <f>SUM(B6:B17)</f>
        <v>10226.573809523808</v>
      </c>
      <c r="C5" s="6">
        <f>SUM(C6:C17)</f>
        <v>9316.5460317460311</v>
      </c>
      <c r="D5" s="6">
        <f t="shared" ref="D5:D17" si="0">SUM(B5:C5)</f>
        <v>19543.11984126984</v>
      </c>
      <c r="E5" s="6">
        <f t="shared" ref="E5:E17" si="1">AVERAGE(B5:C5)</f>
        <v>9771.5599206349198</v>
      </c>
      <c r="F5" s="6">
        <f t="shared" ref="F5:F16" si="2">E5/G5</f>
        <v>33.695034209085932</v>
      </c>
      <c r="G5" s="30">
        <v>290</v>
      </c>
    </row>
    <row r="6" spans="1:7" x14ac:dyDescent="0.55000000000000004">
      <c r="A6" s="2" t="s">
        <v>2</v>
      </c>
      <c r="B6" s="2">
        <v>2184.8122222222214</v>
      </c>
      <c r="C6" s="2">
        <v>1917.3134920634893</v>
      </c>
      <c r="D6" s="2">
        <f t="shared" si="0"/>
        <v>4102.1257142857103</v>
      </c>
      <c r="E6" s="2">
        <f t="shared" si="1"/>
        <v>2051.0628571428551</v>
      </c>
      <c r="F6" s="2">
        <f t="shared" si="2"/>
        <v>33.081658986175086</v>
      </c>
      <c r="G6" s="30">
        <v>62</v>
      </c>
    </row>
    <row r="7" spans="1:7" x14ac:dyDescent="0.55000000000000004">
      <c r="A7" s="2" t="s">
        <v>3</v>
      </c>
      <c r="B7" s="2">
        <v>2635.7805555555537</v>
      </c>
      <c r="C7" s="2">
        <v>2250.594973544974</v>
      </c>
      <c r="D7" s="2">
        <f t="shared" si="0"/>
        <v>4886.3755291005273</v>
      </c>
      <c r="E7" s="2">
        <f t="shared" si="1"/>
        <v>2443.1877645502636</v>
      </c>
      <c r="F7" s="2">
        <f t="shared" si="2"/>
        <v>24.6786642883865</v>
      </c>
      <c r="G7" s="30">
        <v>99</v>
      </c>
    </row>
    <row r="8" spans="1:7" x14ac:dyDescent="0.55000000000000004">
      <c r="A8" s="2" t="s">
        <v>4</v>
      </c>
      <c r="B8" s="2">
        <v>1450.9705158730155</v>
      </c>
      <c r="C8" s="2">
        <v>1362.3555555555554</v>
      </c>
      <c r="D8" s="2">
        <f t="shared" si="0"/>
        <v>2813.3260714285707</v>
      </c>
      <c r="E8" s="2">
        <f t="shared" si="1"/>
        <v>1406.6630357142853</v>
      </c>
      <c r="F8" s="2">
        <f t="shared" si="2"/>
        <v>40.190372448979581</v>
      </c>
      <c r="G8" s="29">
        <v>35</v>
      </c>
    </row>
    <row r="9" spans="1:7" x14ac:dyDescent="0.55000000000000004">
      <c r="A9" s="2" t="s">
        <v>5</v>
      </c>
      <c r="B9" s="2">
        <v>1669.7833333333342</v>
      </c>
      <c r="C9" s="2">
        <v>1428.1222222222243</v>
      </c>
      <c r="D9" s="2">
        <f t="shared" si="0"/>
        <v>3097.9055555555587</v>
      </c>
      <c r="E9" s="2">
        <f t="shared" si="1"/>
        <v>1548.9527777777794</v>
      </c>
      <c r="F9" s="2">
        <f t="shared" si="2"/>
        <v>46.937962962963013</v>
      </c>
      <c r="G9" s="29">
        <v>33</v>
      </c>
    </row>
    <row r="10" spans="1:7" x14ac:dyDescent="0.55000000000000004">
      <c r="A10" s="2" t="s">
        <v>6</v>
      </c>
      <c r="B10" s="2">
        <v>479.33333333333371</v>
      </c>
      <c r="C10" s="2">
        <v>465.15740740740728</v>
      </c>
      <c r="D10" s="2">
        <f t="shared" si="0"/>
        <v>944.49074074074099</v>
      </c>
      <c r="E10" s="2">
        <f t="shared" si="1"/>
        <v>472.24537037037049</v>
      </c>
      <c r="F10" s="2">
        <f t="shared" si="2"/>
        <v>11.806134259259263</v>
      </c>
      <c r="G10" s="29">
        <v>40</v>
      </c>
    </row>
    <row r="11" spans="1:7" x14ac:dyDescent="0.55000000000000004">
      <c r="A11" s="2" t="s">
        <v>13</v>
      </c>
      <c r="B11" s="2">
        <v>1011.5271825396825</v>
      </c>
      <c r="C11" s="2">
        <v>1014.772222222222</v>
      </c>
      <c r="D11" s="2">
        <f t="shared" si="0"/>
        <v>2026.2994047619045</v>
      </c>
      <c r="E11" s="2">
        <f t="shared" si="1"/>
        <v>1013.1497023809522</v>
      </c>
      <c r="F11" s="2">
        <f t="shared" si="2"/>
        <v>92.104518398268382</v>
      </c>
      <c r="G11" s="29">
        <v>11</v>
      </c>
    </row>
    <row r="12" spans="1:7" x14ac:dyDescent="0.55000000000000004">
      <c r="A12" s="2" t="s">
        <v>14</v>
      </c>
      <c r="B12" s="2">
        <v>9.9</v>
      </c>
      <c r="C12" s="2">
        <v>23.849999999999998</v>
      </c>
      <c r="D12" s="2">
        <f t="shared" si="0"/>
        <v>33.75</v>
      </c>
      <c r="E12" s="2">
        <f t="shared" si="1"/>
        <v>16.875</v>
      </c>
      <c r="F12" s="2">
        <f t="shared" si="2"/>
        <v>8.4375</v>
      </c>
      <c r="G12" s="29">
        <v>2</v>
      </c>
    </row>
    <row r="13" spans="1:7" x14ac:dyDescent="0.55000000000000004">
      <c r="A13" s="2" t="s">
        <v>15</v>
      </c>
      <c r="B13" s="2">
        <v>161.40000000000003</v>
      </c>
      <c r="C13" s="2">
        <v>77.399999999999991</v>
      </c>
      <c r="D13" s="2">
        <f t="shared" si="0"/>
        <v>238.8</v>
      </c>
      <c r="E13" s="2">
        <f t="shared" si="1"/>
        <v>119.4</v>
      </c>
      <c r="F13" s="2">
        <f t="shared" si="2"/>
        <v>59.7</v>
      </c>
      <c r="G13" s="29">
        <v>2</v>
      </c>
    </row>
    <row r="14" spans="1:7" x14ac:dyDescent="0.55000000000000004">
      <c r="A14" s="2" t="s">
        <v>16</v>
      </c>
      <c r="B14" s="2"/>
      <c r="C14" s="2">
        <v>1.5</v>
      </c>
      <c r="D14" s="2">
        <f t="shared" si="0"/>
        <v>1.5</v>
      </c>
      <c r="E14" s="2">
        <f t="shared" si="1"/>
        <v>1.5</v>
      </c>
      <c r="F14" s="2"/>
      <c r="G14" s="35"/>
    </row>
    <row r="15" spans="1:7" x14ac:dyDescent="0.55000000000000004">
      <c r="A15" s="2" t="s">
        <v>17</v>
      </c>
      <c r="B15" s="2"/>
      <c r="C15" s="2">
        <v>71.727513227513228</v>
      </c>
      <c r="D15" s="2">
        <f t="shared" si="0"/>
        <v>71.727513227513228</v>
      </c>
      <c r="E15" s="2">
        <f t="shared" si="1"/>
        <v>71.727513227513228</v>
      </c>
      <c r="F15" s="2"/>
      <c r="G15" s="35"/>
    </row>
    <row r="16" spans="1:7" x14ac:dyDescent="0.55000000000000004">
      <c r="A16" s="2" t="s">
        <v>18</v>
      </c>
      <c r="B16" s="2"/>
      <c r="C16" s="2">
        <v>4.3888888888888893</v>
      </c>
      <c r="D16" s="2">
        <f t="shared" si="0"/>
        <v>4.3888888888888893</v>
      </c>
      <c r="E16" s="2">
        <f t="shared" si="1"/>
        <v>4.3888888888888893</v>
      </c>
      <c r="F16" s="2"/>
      <c r="G16" s="35"/>
    </row>
    <row r="17" spans="1:7" x14ac:dyDescent="0.55000000000000004">
      <c r="A17" s="2" t="s">
        <v>19</v>
      </c>
      <c r="B17" s="2">
        <v>623.06666666666672</v>
      </c>
      <c r="C17" s="2">
        <v>699.363756613757</v>
      </c>
      <c r="D17" s="2">
        <f t="shared" si="0"/>
        <v>1322.4304232804238</v>
      </c>
      <c r="E17" s="2">
        <f t="shared" si="1"/>
        <v>661.21521164021192</v>
      </c>
      <c r="F17" s="2">
        <f>E17/G17</f>
        <v>110.20253527336865</v>
      </c>
      <c r="G17" s="29">
        <v>6</v>
      </c>
    </row>
    <row r="18" spans="1:7" x14ac:dyDescent="0.55000000000000004">
      <c r="A18" s="6" t="s">
        <v>21</v>
      </c>
      <c r="B18" s="6">
        <f>SUM(B19:B22)</f>
        <v>2546.0150793650801</v>
      </c>
      <c r="C18" s="6">
        <f>SUM(C19:C22)</f>
        <v>2281.5650793650771</v>
      </c>
      <c r="D18" s="6">
        <f t="shared" ref="D18:D22" si="3">SUM(B18:C18)</f>
        <v>4827.5801587301576</v>
      </c>
      <c r="E18" s="6">
        <f t="shared" ref="E18:E22" si="4">AVERAGE(B18:C18)</f>
        <v>2413.7900793650788</v>
      </c>
      <c r="F18" s="6">
        <f t="shared" ref="F18:F25" si="5">E18/G18</f>
        <v>15.985364764007144</v>
      </c>
      <c r="G18" s="29">
        <v>151</v>
      </c>
    </row>
    <row r="19" spans="1:7" x14ac:dyDescent="0.55000000000000004">
      <c r="A19" s="2" t="s">
        <v>7</v>
      </c>
      <c r="B19" s="2">
        <v>1437.2797619047628</v>
      </c>
      <c r="C19" s="2">
        <v>1316.9146825396799</v>
      </c>
      <c r="D19" s="2">
        <f t="shared" si="3"/>
        <v>2754.1944444444425</v>
      </c>
      <c r="E19" s="2">
        <f t="shared" si="4"/>
        <v>1377.0972222222213</v>
      </c>
      <c r="F19" s="2">
        <f t="shared" si="5"/>
        <v>13.115211640211632</v>
      </c>
      <c r="G19" s="29">
        <v>105</v>
      </c>
    </row>
    <row r="20" spans="1:7" x14ac:dyDescent="0.55000000000000004">
      <c r="A20" s="2" t="s">
        <v>9</v>
      </c>
      <c r="B20" s="2">
        <v>275.18214285714282</v>
      </c>
      <c r="C20" s="2">
        <v>241.09325396825398</v>
      </c>
      <c r="D20" s="2">
        <f t="shared" si="3"/>
        <v>516.2753968253968</v>
      </c>
      <c r="E20" s="2">
        <f t="shared" si="4"/>
        <v>258.1376984126984</v>
      </c>
      <c r="F20" s="2">
        <f t="shared" si="5"/>
        <v>17.209179894179893</v>
      </c>
      <c r="G20" s="29">
        <v>15</v>
      </c>
    </row>
    <row r="21" spans="1:7" x14ac:dyDescent="0.55000000000000004">
      <c r="A21" s="2" t="s">
        <v>10</v>
      </c>
      <c r="B21" s="2">
        <v>206.79166666666671</v>
      </c>
      <c r="C21" s="2">
        <v>203.57936507936518</v>
      </c>
      <c r="D21" s="2">
        <f t="shared" si="3"/>
        <v>410.37103174603192</v>
      </c>
      <c r="E21" s="2">
        <f t="shared" si="4"/>
        <v>205.18551587301596</v>
      </c>
      <c r="F21" s="2">
        <f t="shared" si="5"/>
        <v>11.399195326278665</v>
      </c>
      <c r="G21" s="29">
        <v>18</v>
      </c>
    </row>
    <row r="22" spans="1:7" x14ac:dyDescent="0.55000000000000004">
      <c r="A22" s="2" t="s">
        <v>12</v>
      </c>
      <c r="B22" s="2">
        <v>626.76150793650766</v>
      </c>
      <c r="C22" s="2">
        <v>519.97777777777821</v>
      </c>
      <c r="D22" s="2">
        <f t="shared" si="3"/>
        <v>1146.7392857142859</v>
      </c>
      <c r="E22" s="2">
        <f t="shared" si="4"/>
        <v>573.36964285714294</v>
      </c>
      <c r="F22" s="2">
        <f t="shared" si="5"/>
        <v>44.105357142857152</v>
      </c>
      <c r="G22" s="29">
        <v>13</v>
      </c>
    </row>
    <row r="23" spans="1:7" x14ac:dyDescent="0.55000000000000004">
      <c r="A23" s="6" t="s">
        <v>22</v>
      </c>
      <c r="B23" s="6">
        <f>SUM(B24:B25)</f>
        <v>649.08333333333269</v>
      </c>
      <c r="C23" s="6">
        <f>SUM(C24:C25)</f>
        <v>680.74999999999977</v>
      </c>
      <c r="D23" s="6">
        <f t="shared" ref="D23:D25" si="6">SUM(B23:C23)</f>
        <v>1329.8333333333326</v>
      </c>
      <c r="E23" s="6">
        <f t="shared" ref="E23:E25" si="7">AVERAGE(B23:C23)</f>
        <v>664.91666666666629</v>
      </c>
      <c r="F23" s="6">
        <f t="shared" si="5"/>
        <v>10.90027322404371</v>
      </c>
      <c r="G23" s="29">
        <v>61</v>
      </c>
    </row>
    <row r="24" spans="1:7" x14ac:dyDescent="0.55000000000000004">
      <c r="A24" s="2" t="s">
        <v>11</v>
      </c>
      <c r="B24" s="2">
        <v>118.88888888888883</v>
      </c>
      <c r="C24" s="2">
        <v>118.94444444444439</v>
      </c>
      <c r="D24" s="2">
        <f t="shared" si="6"/>
        <v>237.8333333333332</v>
      </c>
      <c r="E24" s="2">
        <f t="shared" si="7"/>
        <v>118.9166666666666</v>
      </c>
      <c r="F24" s="2">
        <f t="shared" si="5"/>
        <v>4.7566666666666642</v>
      </c>
      <c r="G24" s="29">
        <v>25</v>
      </c>
    </row>
    <row r="25" spans="1:7" x14ac:dyDescent="0.55000000000000004">
      <c r="A25" s="2" t="s">
        <v>8</v>
      </c>
      <c r="B25" s="2">
        <v>530.19444444444389</v>
      </c>
      <c r="C25" s="2">
        <v>561.80555555555543</v>
      </c>
      <c r="D25" s="2">
        <f t="shared" si="6"/>
        <v>1091.9999999999993</v>
      </c>
      <c r="E25" s="2">
        <f t="shared" si="7"/>
        <v>545.99999999999966</v>
      </c>
      <c r="F25" s="2">
        <f t="shared" si="5"/>
        <v>15.166666666666657</v>
      </c>
      <c r="G25" s="29">
        <v>36</v>
      </c>
    </row>
  </sheetData>
  <mergeCells count="6">
    <mergeCell ref="G2:G3"/>
    <mergeCell ref="A1:F1"/>
    <mergeCell ref="B2:C2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750E3-66DE-4251-AADC-EA4FD60E2460}">
  <dimension ref="A1:M25"/>
  <sheetViews>
    <sheetView zoomScale="80" zoomScaleNormal="80" workbookViewId="0">
      <selection activeCell="E2" sqref="E2:E3"/>
    </sheetView>
  </sheetViews>
  <sheetFormatPr defaultRowHeight="24" x14ac:dyDescent="0.55000000000000004"/>
  <cols>
    <col min="1" max="1" width="37.75" style="1" bestFit="1" customWidth="1"/>
    <col min="2" max="4" width="16.625" style="1" customWidth="1"/>
    <col min="5" max="5" width="12.625" style="16" customWidth="1"/>
    <col min="6" max="7" width="12.625" style="1" customWidth="1"/>
    <col min="8" max="8" width="37.75" style="1" customWidth="1"/>
    <col min="9" max="13" width="16.625" style="1" customWidth="1"/>
    <col min="14" max="16384" width="9" style="1"/>
  </cols>
  <sheetData>
    <row r="1" spans="1:13" ht="27.75" x14ac:dyDescent="0.65">
      <c r="A1" s="21" t="s">
        <v>34</v>
      </c>
      <c r="B1" s="21"/>
      <c r="C1" s="21"/>
      <c r="D1" s="21"/>
      <c r="H1" s="21" t="s">
        <v>34</v>
      </c>
      <c r="I1" s="21"/>
      <c r="J1" s="21"/>
      <c r="K1" s="21"/>
      <c r="L1" s="21"/>
      <c r="M1" s="21"/>
    </row>
    <row r="2" spans="1:13" x14ac:dyDescent="0.55000000000000004">
      <c r="A2" s="2"/>
      <c r="B2" s="24" t="s">
        <v>23</v>
      </c>
      <c r="C2" s="24" t="s">
        <v>24</v>
      </c>
      <c r="D2" s="26" t="s">
        <v>26</v>
      </c>
      <c r="E2" s="31" t="s">
        <v>45</v>
      </c>
      <c r="F2" s="17"/>
      <c r="H2" s="2"/>
      <c r="I2" s="3" t="s">
        <v>25</v>
      </c>
      <c r="J2" s="7" t="s">
        <v>27</v>
      </c>
      <c r="K2" s="24" t="s">
        <v>23</v>
      </c>
      <c r="L2" s="24" t="s">
        <v>24</v>
      </c>
      <c r="M2" s="26" t="s">
        <v>26</v>
      </c>
    </row>
    <row r="3" spans="1:13" x14ac:dyDescent="0.55000000000000004">
      <c r="A3" s="2"/>
      <c r="B3" s="25"/>
      <c r="C3" s="25"/>
      <c r="D3" s="27"/>
      <c r="E3" s="31"/>
      <c r="F3" s="17"/>
      <c r="H3" s="2"/>
      <c r="I3" s="3" t="s">
        <v>29</v>
      </c>
      <c r="J3" s="3" t="s">
        <v>29</v>
      </c>
      <c r="K3" s="25"/>
      <c r="L3" s="25"/>
      <c r="M3" s="27"/>
    </row>
    <row r="4" spans="1:13" x14ac:dyDescent="0.55000000000000004">
      <c r="A4" s="4" t="s">
        <v>19</v>
      </c>
      <c r="B4" s="5">
        <f>SUM(B5,B18,B23)</f>
        <v>26280.782000000003</v>
      </c>
      <c r="C4" s="5">
        <f>B4/2</f>
        <v>13140.391000000001</v>
      </c>
      <c r="D4" s="5">
        <f>C4/E4</f>
        <v>26.280782000000002</v>
      </c>
      <c r="E4" s="30">
        <v>500</v>
      </c>
      <c r="F4" s="17"/>
      <c r="H4" s="4" t="s">
        <v>19</v>
      </c>
      <c r="I4" s="5">
        <f>SUM(I5,I18,I23)</f>
        <v>26889.472000000002</v>
      </c>
      <c r="J4" s="5">
        <f t="shared" ref="J4" si="0">SUM(J5,J18,J23)</f>
        <v>3162.3739999999998</v>
      </c>
      <c r="K4" s="5">
        <f t="shared" ref="K4:K25" si="1">SUM(I4:J4)</f>
        <v>30051.846000000001</v>
      </c>
      <c r="L4" s="5">
        <f>K4/3</f>
        <v>10017.282000000001</v>
      </c>
      <c r="M4" s="5">
        <f>L4/E4</f>
        <v>20.034564000000003</v>
      </c>
    </row>
    <row r="5" spans="1:13" x14ac:dyDescent="0.55000000000000004">
      <c r="A5" s="6" t="s">
        <v>20</v>
      </c>
      <c r="B5" s="6">
        <f>SUM(B6:B17)</f>
        <v>20145.052000000003</v>
      </c>
      <c r="C5" s="6">
        <f t="shared" ref="C5:C25" si="2">B5/2</f>
        <v>10072.526000000002</v>
      </c>
      <c r="D5" s="6">
        <f t="shared" ref="D5:D13" si="3">C5/E5</f>
        <v>35.46664084507043</v>
      </c>
      <c r="E5" s="30">
        <v>284</v>
      </c>
      <c r="F5" s="17"/>
      <c r="H5" s="6" t="s">
        <v>20</v>
      </c>
      <c r="I5" s="6">
        <f>SUM(I6:I17)</f>
        <v>20716.972000000002</v>
      </c>
      <c r="J5" s="6">
        <f t="shared" ref="J5" si="4">SUM(J6:J17)</f>
        <v>3018.5439999999999</v>
      </c>
      <c r="K5" s="6">
        <f t="shared" si="1"/>
        <v>23735.516000000003</v>
      </c>
      <c r="L5" s="6">
        <f t="shared" ref="L5:L25" si="5">K5/3</f>
        <v>7911.8386666666675</v>
      </c>
      <c r="M5" s="6">
        <f t="shared" ref="M5:M25" si="6">L5/E5</f>
        <v>27.858586854460096</v>
      </c>
    </row>
    <row r="6" spans="1:13" x14ac:dyDescent="0.55000000000000004">
      <c r="A6" s="2" t="s">
        <v>2</v>
      </c>
      <c r="B6" s="2">
        <f>3142.082+631.42</f>
        <v>3773.502</v>
      </c>
      <c r="C6" s="2">
        <f t="shared" si="2"/>
        <v>1886.751</v>
      </c>
      <c r="D6" s="2">
        <f t="shared" si="3"/>
        <v>28.160462686567165</v>
      </c>
      <c r="E6" s="16">
        <v>67</v>
      </c>
      <c r="H6" s="2" t="s">
        <v>2</v>
      </c>
      <c r="I6" s="2">
        <f>3163.802+631.42</f>
        <v>3795.2220000000002</v>
      </c>
      <c r="J6" s="2">
        <f>698.67+25.75</f>
        <v>724.42</v>
      </c>
      <c r="K6" s="2">
        <f t="shared" si="1"/>
        <v>4519.6419999999998</v>
      </c>
      <c r="L6" s="2">
        <f t="shared" si="5"/>
        <v>1506.5473333333332</v>
      </c>
      <c r="M6" s="2">
        <f t="shared" si="6"/>
        <v>22.485781094527361</v>
      </c>
    </row>
    <row r="7" spans="1:13" x14ac:dyDescent="0.55000000000000004">
      <c r="A7" s="2" t="s">
        <v>3</v>
      </c>
      <c r="B7" s="2">
        <f>4244.836+1073.93</f>
        <v>5318.7660000000005</v>
      </c>
      <c r="C7" s="2">
        <f t="shared" si="2"/>
        <v>2659.3830000000003</v>
      </c>
      <c r="D7" s="2">
        <f t="shared" si="3"/>
        <v>27.41631958762887</v>
      </c>
      <c r="E7" s="16">
        <v>97</v>
      </c>
      <c r="H7" s="2" t="s">
        <v>3</v>
      </c>
      <c r="I7" s="2">
        <f>4269.806+1082.27</f>
        <v>5352.0759999999991</v>
      </c>
      <c r="J7" s="2">
        <f>73.062+166.92</f>
        <v>239.98199999999997</v>
      </c>
      <c r="K7" s="2">
        <f t="shared" si="1"/>
        <v>5592.0579999999991</v>
      </c>
      <c r="L7" s="2">
        <f t="shared" si="5"/>
        <v>1864.019333333333</v>
      </c>
      <c r="M7" s="2">
        <f t="shared" si="6"/>
        <v>19.216694158075597</v>
      </c>
    </row>
    <row r="8" spans="1:13" x14ac:dyDescent="0.55000000000000004">
      <c r="A8" s="2" t="s">
        <v>4</v>
      </c>
      <c r="B8" s="2">
        <f>2890.1+155</f>
        <v>3045.1</v>
      </c>
      <c r="C8" s="2">
        <f t="shared" si="2"/>
        <v>1522.55</v>
      </c>
      <c r="D8" s="2">
        <f t="shared" si="3"/>
        <v>44.780882352941177</v>
      </c>
      <c r="E8" s="16">
        <v>34</v>
      </c>
      <c r="H8" s="2" t="s">
        <v>4</v>
      </c>
      <c r="I8" s="2">
        <f>3007.22+155</f>
        <v>3162.22</v>
      </c>
      <c r="J8" s="2">
        <v>693.97</v>
      </c>
      <c r="K8" s="2">
        <f t="shared" si="1"/>
        <v>3856.1899999999996</v>
      </c>
      <c r="L8" s="2">
        <f t="shared" si="5"/>
        <v>1285.3966666666665</v>
      </c>
      <c r="M8" s="2">
        <f t="shared" si="6"/>
        <v>37.805784313725489</v>
      </c>
    </row>
    <row r="9" spans="1:13" x14ac:dyDescent="0.55000000000000004">
      <c r="A9" s="2" t="s">
        <v>5</v>
      </c>
      <c r="B9" s="2">
        <f>3227.862+124.82</f>
        <v>3352.6820000000002</v>
      </c>
      <c r="C9" s="2">
        <f t="shared" si="2"/>
        <v>1676.3410000000001</v>
      </c>
      <c r="D9" s="2">
        <f t="shared" si="3"/>
        <v>55.878033333333335</v>
      </c>
      <c r="E9" s="16">
        <v>30</v>
      </c>
      <c r="H9" s="2" t="s">
        <v>5</v>
      </c>
      <c r="I9" s="2">
        <f>3279.842+124.82</f>
        <v>3404.6620000000003</v>
      </c>
      <c r="J9" s="2">
        <f>756.562+110</f>
        <v>866.56200000000001</v>
      </c>
      <c r="K9" s="2">
        <f t="shared" si="1"/>
        <v>4271.2240000000002</v>
      </c>
      <c r="L9" s="2">
        <f t="shared" si="5"/>
        <v>1423.7413333333334</v>
      </c>
      <c r="M9" s="2">
        <f t="shared" si="6"/>
        <v>47.458044444444447</v>
      </c>
    </row>
    <row r="10" spans="1:13" x14ac:dyDescent="0.55000000000000004">
      <c r="A10" s="2" t="s">
        <v>6</v>
      </c>
      <c r="B10" s="2">
        <v>852.68999999999994</v>
      </c>
      <c r="C10" s="2">
        <f t="shared" si="2"/>
        <v>426.34499999999997</v>
      </c>
      <c r="D10" s="2">
        <f t="shared" si="3"/>
        <v>10.658624999999999</v>
      </c>
      <c r="E10" s="16">
        <v>40</v>
      </c>
      <c r="H10" s="2" t="s">
        <v>6</v>
      </c>
      <c r="I10" s="2">
        <v>854.13999999999987</v>
      </c>
      <c r="J10" s="2"/>
      <c r="K10" s="2">
        <f t="shared" si="1"/>
        <v>854.13999999999987</v>
      </c>
      <c r="L10" s="2">
        <f t="shared" si="5"/>
        <v>284.71333333333331</v>
      </c>
      <c r="M10" s="2">
        <f t="shared" si="6"/>
        <v>7.1178333333333326</v>
      </c>
    </row>
    <row r="11" spans="1:13" x14ac:dyDescent="0.55000000000000004">
      <c r="A11" s="2" t="s">
        <v>13</v>
      </c>
      <c r="B11" s="2">
        <f>1149.67+529.63</f>
        <v>1679.3000000000002</v>
      </c>
      <c r="C11" s="2">
        <f t="shared" si="2"/>
        <v>839.65000000000009</v>
      </c>
      <c r="D11" s="2">
        <f t="shared" si="3"/>
        <v>104.95625000000001</v>
      </c>
      <c r="E11" s="16">
        <v>8</v>
      </c>
      <c r="H11" s="2" t="s">
        <v>13</v>
      </c>
      <c r="I11" s="2">
        <f>1474.84+533.3</f>
        <v>2008.1399999999999</v>
      </c>
      <c r="J11" s="2">
        <f>281.84+67.09</f>
        <v>348.92999999999995</v>
      </c>
      <c r="K11" s="2">
        <f t="shared" si="1"/>
        <v>2357.0699999999997</v>
      </c>
      <c r="L11" s="2">
        <f t="shared" si="5"/>
        <v>785.68999999999994</v>
      </c>
      <c r="M11" s="2">
        <f t="shared" si="6"/>
        <v>98.211249999999993</v>
      </c>
    </row>
    <row r="12" spans="1:13" x14ac:dyDescent="0.55000000000000004">
      <c r="A12" s="2" t="s">
        <v>14</v>
      </c>
      <c r="B12" s="2">
        <v>32.4</v>
      </c>
      <c r="C12" s="2">
        <f t="shared" si="2"/>
        <v>16.2</v>
      </c>
      <c r="D12" s="2">
        <f t="shared" si="3"/>
        <v>16.2</v>
      </c>
      <c r="E12" s="16">
        <v>1</v>
      </c>
      <c r="H12" s="2" t="s">
        <v>14</v>
      </c>
      <c r="I12" s="2">
        <v>32.4</v>
      </c>
      <c r="J12" s="2">
        <v>32</v>
      </c>
      <c r="K12" s="2">
        <f t="shared" si="1"/>
        <v>64.400000000000006</v>
      </c>
      <c r="L12" s="2">
        <f t="shared" si="5"/>
        <v>21.466666666666669</v>
      </c>
      <c r="M12" s="2">
        <f t="shared" si="6"/>
        <v>21.466666666666669</v>
      </c>
    </row>
    <row r="13" spans="1:13" x14ac:dyDescent="0.55000000000000004">
      <c r="A13" s="2" t="s">
        <v>15</v>
      </c>
      <c r="B13" s="2">
        <v>408.762</v>
      </c>
      <c r="C13" s="2">
        <f t="shared" si="2"/>
        <v>204.381</v>
      </c>
      <c r="D13" s="2">
        <f t="shared" si="3"/>
        <v>102.1905</v>
      </c>
      <c r="E13" s="16">
        <v>2</v>
      </c>
      <c r="H13" s="2" t="s">
        <v>15</v>
      </c>
      <c r="I13" s="2">
        <v>408.762</v>
      </c>
      <c r="J13" s="2"/>
      <c r="K13" s="2">
        <f t="shared" si="1"/>
        <v>408.762</v>
      </c>
      <c r="L13" s="2">
        <f t="shared" si="5"/>
        <v>136.25399999999999</v>
      </c>
      <c r="M13" s="2">
        <f t="shared" si="6"/>
        <v>68.126999999999995</v>
      </c>
    </row>
    <row r="14" spans="1:13" x14ac:dyDescent="0.55000000000000004">
      <c r="A14" s="2" t="s">
        <v>16</v>
      </c>
      <c r="B14" s="2"/>
      <c r="C14" s="2">
        <f t="shared" si="2"/>
        <v>0</v>
      </c>
      <c r="D14" s="2"/>
      <c r="H14" s="2" t="s">
        <v>16</v>
      </c>
      <c r="I14" s="2"/>
      <c r="J14" s="2"/>
      <c r="K14" s="2">
        <f t="shared" si="1"/>
        <v>0</v>
      </c>
      <c r="L14" s="2">
        <f t="shared" si="5"/>
        <v>0</v>
      </c>
      <c r="M14" s="2"/>
    </row>
    <row r="15" spans="1:13" x14ac:dyDescent="0.55000000000000004">
      <c r="A15" s="2" t="s">
        <v>17</v>
      </c>
      <c r="B15" s="2"/>
      <c r="C15" s="2">
        <f t="shared" si="2"/>
        <v>0</v>
      </c>
      <c r="D15" s="2"/>
      <c r="H15" s="2" t="s">
        <v>17</v>
      </c>
      <c r="I15" s="2"/>
      <c r="J15" s="2"/>
      <c r="K15" s="2">
        <f t="shared" si="1"/>
        <v>0</v>
      </c>
      <c r="L15" s="2">
        <f t="shared" si="5"/>
        <v>0</v>
      </c>
      <c r="M15" s="2"/>
    </row>
    <row r="16" spans="1:13" x14ac:dyDescent="0.55000000000000004">
      <c r="A16" s="2" t="s">
        <v>28</v>
      </c>
      <c r="B16" s="2">
        <v>326.97000000000003</v>
      </c>
      <c r="C16" s="2">
        <f t="shared" si="2"/>
        <v>163.48500000000001</v>
      </c>
      <c r="D16" s="2"/>
      <c r="H16" s="2" t="s">
        <v>28</v>
      </c>
      <c r="I16" s="2">
        <v>326.97000000000003</v>
      </c>
      <c r="J16" s="2">
        <v>17.670000000000002</v>
      </c>
      <c r="K16" s="2">
        <f t="shared" si="1"/>
        <v>344.64000000000004</v>
      </c>
      <c r="L16" s="2">
        <f t="shared" si="5"/>
        <v>114.88000000000001</v>
      </c>
      <c r="M16" s="2"/>
    </row>
    <row r="17" spans="1:13" x14ac:dyDescent="0.55000000000000004">
      <c r="A17" s="2" t="s">
        <v>19</v>
      </c>
      <c r="B17" s="2">
        <v>1354.88</v>
      </c>
      <c r="C17" s="2">
        <f t="shared" si="2"/>
        <v>677.44</v>
      </c>
      <c r="D17" s="2">
        <f t="shared" ref="D17:D25" si="7">C17/E17</f>
        <v>135.488</v>
      </c>
      <c r="E17" s="16">
        <v>5</v>
      </c>
      <c r="H17" s="2" t="s">
        <v>19</v>
      </c>
      <c r="I17" s="2">
        <v>1372.38</v>
      </c>
      <c r="J17" s="2">
        <v>95.01</v>
      </c>
      <c r="K17" s="2">
        <f t="shared" si="1"/>
        <v>1467.39</v>
      </c>
      <c r="L17" s="2">
        <f t="shared" si="5"/>
        <v>489.13000000000005</v>
      </c>
      <c r="M17" s="2">
        <f t="shared" si="6"/>
        <v>97.826000000000008</v>
      </c>
    </row>
    <row r="18" spans="1:13" x14ac:dyDescent="0.55000000000000004">
      <c r="A18" s="6" t="s">
        <v>21</v>
      </c>
      <c r="B18" s="6">
        <f>SUM(B19:B22)</f>
        <v>4830.8399999999992</v>
      </c>
      <c r="C18" s="6">
        <f t="shared" si="2"/>
        <v>2415.4199999999996</v>
      </c>
      <c r="D18" s="6">
        <f t="shared" si="7"/>
        <v>15.096374999999998</v>
      </c>
      <c r="E18" s="16">
        <v>160</v>
      </c>
      <c r="H18" s="6" t="s">
        <v>21</v>
      </c>
      <c r="I18" s="6">
        <f>SUM(I19:I22)</f>
        <v>4857.28</v>
      </c>
      <c r="J18" s="6">
        <f t="shared" ref="J18" si="8">SUM(J19:J22)</f>
        <v>78.91</v>
      </c>
      <c r="K18" s="6">
        <f t="shared" si="1"/>
        <v>4936.1899999999996</v>
      </c>
      <c r="L18" s="6">
        <f t="shared" si="5"/>
        <v>1645.3966666666665</v>
      </c>
      <c r="M18" s="6">
        <f t="shared" si="6"/>
        <v>10.283729166666665</v>
      </c>
    </row>
    <row r="19" spans="1:13" x14ac:dyDescent="0.55000000000000004">
      <c r="A19" s="2" t="s">
        <v>7</v>
      </c>
      <c r="B19" s="2">
        <f>2383.19+873.8</f>
        <v>3256.99</v>
      </c>
      <c r="C19" s="2">
        <f t="shared" si="2"/>
        <v>1628.4949999999999</v>
      </c>
      <c r="D19" s="2">
        <f t="shared" si="7"/>
        <v>14.671126126126126</v>
      </c>
      <c r="E19" s="16">
        <v>111</v>
      </c>
      <c r="H19" s="2" t="s">
        <v>7</v>
      </c>
      <c r="I19" s="2">
        <f>2390.91+873.8</f>
        <v>3264.71</v>
      </c>
      <c r="J19" s="2">
        <f>33.5+37.41</f>
        <v>70.91</v>
      </c>
      <c r="K19" s="2">
        <f t="shared" si="1"/>
        <v>3335.62</v>
      </c>
      <c r="L19" s="2">
        <f t="shared" si="5"/>
        <v>1111.8733333333332</v>
      </c>
      <c r="M19" s="2">
        <f t="shared" si="6"/>
        <v>10.016876876876875</v>
      </c>
    </row>
    <row r="20" spans="1:13" x14ac:dyDescent="0.55000000000000004">
      <c r="A20" s="2" t="s">
        <v>9</v>
      </c>
      <c r="B20" s="2">
        <f>375.64+81.21</f>
        <v>456.84999999999997</v>
      </c>
      <c r="C20" s="2">
        <f t="shared" si="2"/>
        <v>228.42499999999998</v>
      </c>
      <c r="D20" s="2">
        <f t="shared" si="7"/>
        <v>12.690277777777776</v>
      </c>
      <c r="E20" s="16">
        <v>18</v>
      </c>
      <c r="H20" s="2" t="s">
        <v>9</v>
      </c>
      <c r="I20" s="2">
        <f>389.97+81.21</f>
        <v>471.18</v>
      </c>
      <c r="J20" s="2">
        <v>8</v>
      </c>
      <c r="K20" s="2">
        <f t="shared" si="1"/>
        <v>479.18</v>
      </c>
      <c r="L20" s="2">
        <f t="shared" si="5"/>
        <v>159.72666666666666</v>
      </c>
      <c r="M20" s="2">
        <f t="shared" si="6"/>
        <v>8.8737037037037041</v>
      </c>
    </row>
    <row r="21" spans="1:13" x14ac:dyDescent="0.55000000000000004">
      <c r="A21" s="2" t="s">
        <v>10</v>
      </c>
      <c r="B21" s="2">
        <f>238.18+81.79</f>
        <v>319.97000000000003</v>
      </c>
      <c r="C21" s="2">
        <f t="shared" si="2"/>
        <v>159.98500000000001</v>
      </c>
      <c r="D21" s="2">
        <f t="shared" si="7"/>
        <v>9.4108823529411776</v>
      </c>
      <c r="E21" s="16">
        <v>17</v>
      </c>
      <c r="H21" s="2" t="s">
        <v>10</v>
      </c>
      <c r="I21" s="2">
        <f>242.4+81.79</f>
        <v>324.19</v>
      </c>
      <c r="J21" s="2"/>
      <c r="K21" s="2">
        <f t="shared" si="1"/>
        <v>324.19</v>
      </c>
      <c r="L21" s="2">
        <f t="shared" si="5"/>
        <v>108.06333333333333</v>
      </c>
      <c r="M21" s="2">
        <f t="shared" si="6"/>
        <v>6.3566666666666665</v>
      </c>
    </row>
    <row r="22" spans="1:13" x14ac:dyDescent="0.55000000000000004">
      <c r="A22" s="2" t="s">
        <v>12</v>
      </c>
      <c r="B22" s="2">
        <f>171.83+625.2</f>
        <v>797.03000000000009</v>
      </c>
      <c r="C22" s="2">
        <f t="shared" si="2"/>
        <v>398.51500000000004</v>
      </c>
      <c r="D22" s="2">
        <f t="shared" si="7"/>
        <v>28.465357142857147</v>
      </c>
      <c r="E22" s="16">
        <v>14</v>
      </c>
      <c r="H22" s="2" t="s">
        <v>12</v>
      </c>
      <c r="I22" s="2">
        <f>172+625.2</f>
        <v>797.2</v>
      </c>
      <c r="J22" s="2"/>
      <c r="K22" s="2">
        <f t="shared" si="1"/>
        <v>797.2</v>
      </c>
      <c r="L22" s="2">
        <f t="shared" si="5"/>
        <v>265.73333333333335</v>
      </c>
      <c r="M22" s="2">
        <f t="shared" si="6"/>
        <v>18.980952380952381</v>
      </c>
    </row>
    <row r="23" spans="1:13" x14ac:dyDescent="0.55000000000000004">
      <c r="A23" s="6" t="s">
        <v>22</v>
      </c>
      <c r="B23" s="6">
        <f>SUM(B24:B25)</f>
        <v>1304.8899999999999</v>
      </c>
      <c r="C23" s="6">
        <f t="shared" si="2"/>
        <v>652.44499999999994</v>
      </c>
      <c r="D23" s="6">
        <f t="shared" si="7"/>
        <v>11.65080357142857</v>
      </c>
      <c r="E23" s="16">
        <v>56</v>
      </c>
      <c r="H23" s="6" t="s">
        <v>22</v>
      </c>
      <c r="I23" s="6">
        <f>SUM(I24:I25)</f>
        <v>1315.22</v>
      </c>
      <c r="J23" s="6">
        <f t="shared" ref="J23" si="9">SUM(J24:J25)</f>
        <v>64.92</v>
      </c>
      <c r="K23" s="6">
        <f t="shared" si="1"/>
        <v>1380.14</v>
      </c>
      <c r="L23" s="6">
        <f t="shared" si="5"/>
        <v>460.04666666666668</v>
      </c>
      <c r="M23" s="6">
        <f t="shared" si="6"/>
        <v>8.2151190476190479</v>
      </c>
    </row>
    <row r="24" spans="1:13" x14ac:dyDescent="0.55000000000000004">
      <c r="A24" s="2" t="s">
        <v>11</v>
      </c>
      <c r="B24" s="2">
        <f>250.66+41.84</f>
        <v>292.5</v>
      </c>
      <c r="C24" s="2">
        <f t="shared" si="2"/>
        <v>146.25</v>
      </c>
      <c r="D24" s="2">
        <f t="shared" si="7"/>
        <v>7.6973684210526319</v>
      </c>
      <c r="E24" s="16">
        <v>19</v>
      </c>
      <c r="H24" s="2" t="s">
        <v>11</v>
      </c>
      <c r="I24" s="2">
        <f>260.66+41.84</f>
        <v>302.5</v>
      </c>
      <c r="J24" s="2"/>
      <c r="K24" s="2">
        <f t="shared" si="1"/>
        <v>302.5</v>
      </c>
      <c r="L24" s="2">
        <f t="shared" si="5"/>
        <v>100.83333333333333</v>
      </c>
      <c r="M24" s="2">
        <f t="shared" si="6"/>
        <v>5.307017543859649</v>
      </c>
    </row>
    <row r="25" spans="1:13" x14ac:dyDescent="0.55000000000000004">
      <c r="A25" s="2" t="s">
        <v>8</v>
      </c>
      <c r="B25" s="2">
        <f>924.55+87.84</f>
        <v>1012.39</v>
      </c>
      <c r="C25" s="2">
        <f t="shared" si="2"/>
        <v>506.19499999999999</v>
      </c>
      <c r="D25" s="2">
        <f t="shared" si="7"/>
        <v>13.680945945945945</v>
      </c>
      <c r="E25" s="16">
        <v>37</v>
      </c>
      <c r="H25" s="2" t="s">
        <v>8</v>
      </c>
      <c r="I25" s="2">
        <f>924.88+87.84</f>
        <v>1012.72</v>
      </c>
      <c r="J25" s="2">
        <v>64.92</v>
      </c>
      <c r="K25" s="2">
        <f t="shared" si="1"/>
        <v>1077.6400000000001</v>
      </c>
      <c r="L25" s="2">
        <f t="shared" si="5"/>
        <v>359.21333333333337</v>
      </c>
      <c r="M25" s="2">
        <f t="shared" si="6"/>
        <v>9.7084684684684692</v>
      </c>
    </row>
  </sheetData>
  <mergeCells count="9">
    <mergeCell ref="H1:M1"/>
    <mergeCell ref="K2:K3"/>
    <mergeCell ref="L2:L3"/>
    <mergeCell ref="M2:M3"/>
    <mergeCell ref="A1:D1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A421-80A3-4ABF-B604-D58CF199D7AF}">
  <dimension ref="A1:M25"/>
  <sheetViews>
    <sheetView zoomScale="80" zoomScaleNormal="80" workbookViewId="0">
      <selection activeCell="E2" sqref="E2:E3"/>
    </sheetView>
  </sheetViews>
  <sheetFormatPr defaultRowHeight="24" x14ac:dyDescent="0.55000000000000004"/>
  <cols>
    <col min="1" max="1" width="37.75" style="1" bestFit="1" customWidth="1"/>
    <col min="2" max="4" width="16.625" style="1" customWidth="1"/>
    <col min="5" max="5" width="12.625" style="16" customWidth="1"/>
    <col min="6" max="7" width="12.625" style="1" customWidth="1"/>
    <col min="8" max="8" width="37.75" style="1" customWidth="1"/>
    <col min="9" max="13" width="16.625" style="1" customWidth="1"/>
    <col min="14" max="16384" width="9" style="1"/>
  </cols>
  <sheetData>
    <row r="1" spans="1:13" ht="27.75" x14ac:dyDescent="0.65">
      <c r="A1" s="21" t="s">
        <v>33</v>
      </c>
      <c r="B1" s="21"/>
      <c r="C1" s="21"/>
      <c r="D1" s="21"/>
      <c r="H1" s="21" t="s">
        <v>33</v>
      </c>
      <c r="I1" s="21"/>
      <c r="J1" s="21"/>
      <c r="K1" s="21"/>
      <c r="L1" s="21"/>
      <c r="M1" s="21"/>
    </row>
    <row r="2" spans="1:13" x14ac:dyDescent="0.55000000000000004">
      <c r="A2" s="2"/>
      <c r="B2" s="3" t="s">
        <v>25</v>
      </c>
      <c r="C2" s="24" t="s">
        <v>24</v>
      </c>
      <c r="D2" s="26" t="s">
        <v>26</v>
      </c>
      <c r="E2" s="31" t="s">
        <v>45</v>
      </c>
      <c r="F2" s="18"/>
      <c r="H2" s="2"/>
      <c r="I2" s="3" t="s">
        <v>25</v>
      </c>
      <c r="J2" s="7" t="s">
        <v>27</v>
      </c>
      <c r="K2" s="24" t="s">
        <v>23</v>
      </c>
      <c r="L2" s="24" t="s">
        <v>24</v>
      </c>
      <c r="M2" s="26" t="s">
        <v>26</v>
      </c>
    </row>
    <row r="3" spans="1:13" x14ac:dyDescent="0.55000000000000004">
      <c r="A3" s="2"/>
      <c r="B3" s="8" t="s">
        <v>30</v>
      </c>
      <c r="C3" s="25"/>
      <c r="D3" s="27"/>
      <c r="E3" s="31"/>
      <c r="F3" s="18"/>
      <c r="H3" s="2"/>
      <c r="I3" s="3" t="s">
        <v>29</v>
      </c>
      <c r="J3" s="3" t="s">
        <v>29</v>
      </c>
      <c r="K3" s="25"/>
      <c r="L3" s="25"/>
      <c r="M3" s="27"/>
    </row>
    <row r="4" spans="1:13" x14ac:dyDescent="0.55000000000000004">
      <c r="A4" s="4" t="s">
        <v>19</v>
      </c>
      <c r="B4" s="5">
        <f>SUM(B5,B18,B23)</f>
        <v>26416.751999999997</v>
      </c>
      <c r="C4" s="5">
        <f>B4/2</f>
        <v>13208.375999999998</v>
      </c>
      <c r="D4" s="5">
        <f>C4/E4</f>
        <v>26.469691382765529</v>
      </c>
      <c r="E4" s="30">
        <v>499</v>
      </c>
      <c r="F4" s="18"/>
      <c r="H4" s="4" t="s">
        <v>19</v>
      </c>
      <c r="I4" s="5">
        <f>SUM(I5,I18,I23)</f>
        <v>27139.421999999999</v>
      </c>
      <c r="J4" s="5">
        <f t="shared" ref="J4" si="0">SUM(J5,J18,J23)</f>
        <v>2734.3</v>
      </c>
      <c r="K4" s="5">
        <f t="shared" ref="K4:K25" si="1">SUM(I4:J4)</f>
        <v>29873.721999999998</v>
      </c>
      <c r="L4" s="5">
        <f>K4/3</f>
        <v>9957.9073333333326</v>
      </c>
      <c r="M4" s="5">
        <f>L4/E4</f>
        <v>19.955726118904476</v>
      </c>
    </row>
    <row r="5" spans="1:13" x14ac:dyDescent="0.55000000000000004">
      <c r="A5" s="6" t="s">
        <v>20</v>
      </c>
      <c r="B5" s="6">
        <f>SUM(B6:B17)</f>
        <v>20199.291999999998</v>
      </c>
      <c r="C5" s="6">
        <f t="shared" ref="C5:C25" si="2">B5/2</f>
        <v>10099.645999999999</v>
      </c>
      <c r="D5" s="6">
        <f t="shared" ref="D5:D25" si="3">C5/E5</f>
        <v>34.946871972318334</v>
      </c>
      <c r="E5" s="30">
        <v>289</v>
      </c>
      <c r="F5" s="18"/>
      <c r="H5" s="6" t="s">
        <v>20</v>
      </c>
      <c r="I5" s="6">
        <f>SUM(I6:I17)</f>
        <v>20828.881999999998</v>
      </c>
      <c r="J5" s="6">
        <f t="shared" ref="J5" si="4">SUM(J6:J17)</f>
        <v>2580.58</v>
      </c>
      <c r="K5" s="6">
        <f t="shared" si="1"/>
        <v>23409.462</v>
      </c>
      <c r="L5" s="6">
        <f t="shared" ref="L5:L25" si="5">K5/3</f>
        <v>7803.1539999999995</v>
      </c>
      <c r="M5" s="6">
        <f t="shared" ref="M5:M25" si="6">L5/E5</f>
        <v>27.000532871972318</v>
      </c>
    </row>
    <row r="6" spans="1:13" x14ac:dyDescent="0.55000000000000004">
      <c r="A6" s="2" t="s">
        <v>2</v>
      </c>
      <c r="B6" s="2">
        <f>3394.664+756.16</f>
        <v>4150.8240000000005</v>
      </c>
      <c r="C6" s="2">
        <f t="shared" si="2"/>
        <v>2075.4120000000003</v>
      </c>
      <c r="D6" s="2">
        <f t="shared" si="3"/>
        <v>31.929415384615389</v>
      </c>
      <c r="E6" s="16">
        <v>65</v>
      </c>
      <c r="H6" s="2" t="s">
        <v>2</v>
      </c>
      <c r="I6" s="2">
        <f>3433.994+756.16</f>
        <v>4190.1540000000005</v>
      </c>
      <c r="J6" s="2">
        <v>870.702</v>
      </c>
      <c r="K6" s="2">
        <f t="shared" si="1"/>
        <v>5060.8560000000007</v>
      </c>
      <c r="L6" s="2">
        <f t="shared" si="5"/>
        <v>1686.9520000000002</v>
      </c>
      <c r="M6" s="2">
        <f t="shared" si="6"/>
        <v>25.953107692307697</v>
      </c>
    </row>
    <row r="7" spans="1:13" x14ac:dyDescent="0.55000000000000004">
      <c r="A7" s="2" t="s">
        <v>3</v>
      </c>
      <c r="B7" s="2">
        <f>4282.058+1136.44</f>
        <v>5418.4979999999996</v>
      </c>
      <c r="C7" s="2">
        <f t="shared" si="2"/>
        <v>2709.2489999999998</v>
      </c>
      <c r="D7" s="2">
        <f t="shared" si="3"/>
        <v>27.645397959183672</v>
      </c>
      <c r="E7" s="16">
        <v>98</v>
      </c>
      <c r="H7" s="2" t="s">
        <v>3</v>
      </c>
      <c r="I7" s="2">
        <f>4325.648+1141.03</f>
        <v>5466.6779999999999</v>
      </c>
      <c r="J7" s="2">
        <f>104.256+108.53</f>
        <v>212.786</v>
      </c>
      <c r="K7" s="2">
        <f t="shared" si="1"/>
        <v>5679.4639999999999</v>
      </c>
      <c r="L7" s="2">
        <f t="shared" si="5"/>
        <v>1893.1546666666666</v>
      </c>
      <c r="M7" s="2">
        <f t="shared" si="6"/>
        <v>19.31790476190476</v>
      </c>
    </row>
    <row r="8" spans="1:13" x14ac:dyDescent="0.55000000000000004">
      <c r="A8" s="2" t="s">
        <v>4</v>
      </c>
      <c r="B8" s="2">
        <f>2953.93+232.86</f>
        <v>3186.79</v>
      </c>
      <c r="C8" s="2">
        <f t="shared" si="2"/>
        <v>1593.395</v>
      </c>
      <c r="D8" s="2">
        <f t="shared" si="3"/>
        <v>46.864558823529414</v>
      </c>
      <c r="E8" s="16">
        <v>34</v>
      </c>
      <c r="H8" s="2" t="s">
        <v>4</v>
      </c>
      <c r="I8" s="2">
        <f>3118.61+232.86</f>
        <v>3351.4700000000003</v>
      </c>
      <c r="J8" s="2">
        <v>652.51800000000003</v>
      </c>
      <c r="K8" s="2">
        <f t="shared" si="1"/>
        <v>4003.9880000000003</v>
      </c>
      <c r="L8" s="2">
        <f t="shared" si="5"/>
        <v>1334.6626666666668</v>
      </c>
      <c r="M8" s="2">
        <f t="shared" si="6"/>
        <v>39.254784313725494</v>
      </c>
    </row>
    <row r="9" spans="1:13" x14ac:dyDescent="0.55000000000000004">
      <c r="A9" s="2" t="s">
        <v>5</v>
      </c>
      <c r="B9" s="2">
        <f>2890.232+99.71</f>
        <v>2989.942</v>
      </c>
      <c r="C9" s="2">
        <f t="shared" si="2"/>
        <v>1494.971</v>
      </c>
      <c r="D9" s="2">
        <f t="shared" si="3"/>
        <v>46.71784375</v>
      </c>
      <c r="E9" s="16">
        <v>32</v>
      </c>
      <c r="H9" s="2" t="s">
        <v>5</v>
      </c>
      <c r="I9" s="2">
        <f>2973.892+99.71</f>
        <v>3073.6019999999999</v>
      </c>
      <c r="J9" s="2">
        <f>526.744+39</f>
        <v>565.74400000000003</v>
      </c>
      <c r="K9" s="2">
        <f t="shared" si="1"/>
        <v>3639.346</v>
      </c>
      <c r="L9" s="2">
        <f t="shared" si="5"/>
        <v>1213.1153333333334</v>
      </c>
      <c r="M9" s="2">
        <f t="shared" si="6"/>
        <v>37.909854166666669</v>
      </c>
    </row>
    <row r="10" spans="1:13" x14ac:dyDescent="0.55000000000000004">
      <c r="A10" s="2" t="s">
        <v>6</v>
      </c>
      <c r="B10" s="2">
        <f>884.73+4.44</f>
        <v>889.17000000000007</v>
      </c>
      <c r="C10" s="2">
        <f t="shared" si="2"/>
        <v>444.58500000000004</v>
      </c>
      <c r="D10" s="2">
        <f t="shared" si="3"/>
        <v>10.843536585365854</v>
      </c>
      <c r="E10" s="16">
        <v>41</v>
      </c>
      <c r="H10" s="2" t="s">
        <v>6</v>
      </c>
      <c r="I10" s="2">
        <f>885.89+4.44</f>
        <v>890.33</v>
      </c>
      <c r="J10" s="2"/>
      <c r="K10" s="2">
        <f t="shared" si="1"/>
        <v>890.33</v>
      </c>
      <c r="L10" s="2">
        <f t="shared" si="5"/>
        <v>296.7766666666667</v>
      </c>
      <c r="M10" s="2">
        <f t="shared" si="6"/>
        <v>7.2384552845528463</v>
      </c>
    </row>
    <row r="11" spans="1:13" x14ac:dyDescent="0.55000000000000004">
      <c r="A11" s="2" t="s">
        <v>13</v>
      </c>
      <c r="B11" s="2">
        <f>739.5+305.57</f>
        <v>1045.07</v>
      </c>
      <c r="C11" s="2">
        <f t="shared" si="2"/>
        <v>522.53499999999997</v>
      </c>
      <c r="D11" s="2">
        <f t="shared" si="3"/>
        <v>47.503181818181815</v>
      </c>
      <c r="E11" s="16">
        <v>11</v>
      </c>
      <c r="H11" s="2" t="s">
        <v>13</v>
      </c>
      <c r="I11" s="2">
        <f>1014.33+305.57</f>
        <v>1319.9</v>
      </c>
      <c r="J11" s="2">
        <f>162+5</f>
        <v>167</v>
      </c>
      <c r="K11" s="2">
        <f t="shared" si="1"/>
        <v>1486.9</v>
      </c>
      <c r="L11" s="2">
        <f t="shared" si="5"/>
        <v>495.63333333333338</v>
      </c>
      <c r="M11" s="2">
        <f t="shared" si="6"/>
        <v>45.057575757575762</v>
      </c>
    </row>
    <row r="12" spans="1:13" x14ac:dyDescent="0.55000000000000004">
      <c r="A12" s="2" t="s">
        <v>14</v>
      </c>
      <c r="B12" s="2">
        <v>18.899999999999999</v>
      </c>
      <c r="C12" s="2">
        <f t="shared" si="2"/>
        <v>9.4499999999999993</v>
      </c>
      <c r="D12" s="2">
        <f t="shared" si="3"/>
        <v>4.7249999999999996</v>
      </c>
      <c r="E12" s="16">
        <v>2</v>
      </c>
      <c r="H12" s="2" t="s">
        <v>14</v>
      </c>
      <c r="I12" s="2">
        <v>18.899999999999999</v>
      </c>
      <c r="J12" s="2">
        <v>37</v>
      </c>
      <c r="K12" s="2">
        <f t="shared" si="1"/>
        <v>55.9</v>
      </c>
      <c r="L12" s="2">
        <f t="shared" si="5"/>
        <v>18.633333333333333</v>
      </c>
      <c r="M12" s="2">
        <f t="shared" si="6"/>
        <v>9.3166666666666664</v>
      </c>
    </row>
    <row r="13" spans="1:13" x14ac:dyDescent="0.55000000000000004">
      <c r="A13" s="2" t="s">
        <v>15</v>
      </c>
      <c r="B13" s="2">
        <v>453.43799999999999</v>
      </c>
      <c r="C13" s="2">
        <f t="shared" si="2"/>
        <v>226.71899999999999</v>
      </c>
      <c r="D13" s="2">
        <f t="shared" si="3"/>
        <v>113.3595</v>
      </c>
      <c r="E13" s="16">
        <v>2</v>
      </c>
      <c r="H13" s="2" t="s">
        <v>15</v>
      </c>
      <c r="I13" s="2">
        <v>453.43799999999999</v>
      </c>
      <c r="J13" s="2"/>
      <c r="K13" s="2">
        <f t="shared" si="1"/>
        <v>453.43799999999999</v>
      </c>
      <c r="L13" s="2">
        <f t="shared" si="5"/>
        <v>151.14599999999999</v>
      </c>
      <c r="M13" s="2">
        <f t="shared" si="6"/>
        <v>75.572999999999993</v>
      </c>
    </row>
    <row r="14" spans="1:13" x14ac:dyDescent="0.55000000000000004">
      <c r="A14" s="2" t="s">
        <v>16</v>
      </c>
      <c r="B14" s="2"/>
      <c r="C14" s="2">
        <f t="shared" si="2"/>
        <v>0</v>
      </c>
      <c r="D14" s="2"/>
      <c r="H14" s="2" t="s">
        <v>16</v>
      </c>
      <c r="I14" s="2"/>
      <c r="J14" s="2"/>
      <c r="K14" s="2">
        <f t="shared" si="1"/>
        <v>0</v>
      </c>
      <c r="L14" s="2">
        <f t="shared" si="5"/>
        <v>0</v>
      </c>
      <c r="M14" s="2"/>
    </row>
    <row r="15" spans="1:13" x14ac:dyDescent="0.55000000000000004">
      <c r="A15" s="2" t="s">
        <v>17</v>
      </c>
      <c r="B15" s="2">
        <v>161.66999999999999</v>
      </c>
      <c r="C15" s="2">
        <f t="shared" si="2"/>
        <v>80.834999999999994</v>
      </c>
      <c r="D15" s="2"/>
      <c r="H15" s="2" t="s">
        <v>17</v>
      </c>
      <c r="I15" s="2">
        <v>161.66999999999999</v>
      </c>
      <c r="J15" s="2"/>
      <c r="K15" s="2">
        <f t="shared" si="1"/>
        <v>161.66999999999999</v>
      </c>
      <c r="L15" s="2">
        <f t="shared" si="5"/>
        <v>53.889999999999993</v>
      </c>
      <c r="M15" s="2"/>
    </row>
    <row r="16" spans="1:13" x14ac:dyDescent="0.55000000000000004">
      <c r="A16" s="2" t="s">
        <v>28</v>
      </c>
      <c r="B16" s="2">
        <v>365.55</v>
      </c>
      <c r="C16" s="2">
        <f t="shared" si="2"/>
        <v>182.77500000000001</v>
      </c>
      <c r="D16" s="2"/>
      <c r="H16" s="2" t="s">
        <v>28</v>
      </c>
      <c r="I16" s="2">
        <v>365.55</v>
      </c>
      <c r="J16" s="2">
        <v>46.33</v>
      </c>
      <c r="K16" s="2">
        <f t="shared" si="1"/>
        <v>411.88</v>
      </c>
      <c r="L16" s="2">
        <f t="shared" si="5"/>
        <v>137.29333333333332</v>
      </c>
      <c r="M16" s="2"/>
    </row>
    <row r="17" spans="1:13" x14ac:dyDescent="0.55000000000000004">
      <c r="A17" s="2" t="s">
        <v>19</v>
      </c>
      <c r="B17" s="2">
        <v>1519.44</v>
      </c>
      <c r="C17" s="2">
        <f t="shared" si="2"/>
        <v>759.72</v>
      </c>
      <c r="D17" s="2">
        <f t="shared" si="3"/>
        <v>189.93</v>
      </c>
      <c r="E17" s="16">
        <v>4</v>
      </c>
      <c r="H17" s="2" t="s">
        <v>19</v>
      </c>
      <c r="I17" s="2">
        <v>1537.19</v>
      </c>
      <c r="J17" s="2">
        <v>28.5</v>
      </c>
      <c r="K17" s="2">
        <f t="shared" si="1"/>
        <v>1565.69</v>
      </c>
      <c r="L17" s="2">
        <f t="shared" si="5"/>
        <v>521.89666666666665</v>
      </c>
      <c r="M17" s="2">
        <f t="shared" si="6"/>
        <v>130.47416666666666</v>
      </c>
    </row>
    <row r="18" spans="1:13" x14ac:dyDescent="0.55000000000000004">
      <c r="A18" s="6" t="s">
        <v>21</v>
      </c>
      <c r="B18" s="6">
        <f>SUM(B19:B22)</f>
        <v>4832.28</v>
      </c>
      <c r="C18" s="6">
        <f t="shared" si="2"/>
        <v>2416.14</v>
      </c>
      <c r="D18" s="6">
        <f t="shared" si="3"/>
        <v>15.689220779220779</v>
      </c>
      <c r="E18" s="16">
        <v>154</v>
      </c>
      <c r="H18" s="6" t="s">
        <v>21</v>
      </c>
      <c r="I18" s="6">
        <f>SUM(I19:I22)</f>
        <v>4912.33</v>
      </c>
      <c r="J18" s="6">
        <f t="shared" ref="J18" si="7">SUM(J19:J22)</f>
        <v>99.07</v>
      </c>
      <c r="K18" s="6">
        <f t="shared" si="1"/>
        <v>5011.3999999999996</v>
      </c>
      <c r="L18" s="6">
        <f t="shared" si="5"/>
        <v>1670.4666666666665</v>
      </c>
      <c r="M18" s="6">
        <f t="shared" si="6"/>
        <v>10.847186147186147</v>
      </c>
    </row>
    <row r="19" spans="1:13" x14ac:dyDescent="0.55000000000000004">
      <c r="A19" s="2" t="s">
        <v>7</v>
      </c>
      <c r="B19" s="2">
        <f>2853.92+681.27</f>
        <v>3535.19</v>
      </c>
      <c r="C19" s="2">
        <f t="shared" si="2"/>
        <v>1767.595</v>
      </c>
      <c r="D19" s="2">
        <f t="shared" si="3"/>
        <v>16.834238095238096</v>
      </c>
      <c r="E19" s="16">
        <v>105</v>
      </c>
      <c r="H19" s="2" t="s">
        <v>7</v>
      </c>
      <c r="I19" s="2">
        <f>2893.52+681.27</f>
        <v>3574.79</v>
      </c>
      <c r="J19" s="2">
        <f>47.66+51.41</f>
        <v>99.07</v>
      </c>
      <c r="K19" s="2">
        <f t="shared" si="1"/>
        <v>3673.86</v>
      </c>
      <c r="L19" s="2">
        <f t="shared" si="5"/>
        <v>1224.6200000000001</v>
      </c>
      <c r="M19" s="2">
        <f t="shared" si="6"/>
        <v>11.663047619047621</v>
      </c>
    </row>
    <row r="20" spans="1:13" x14ac:dyDescent="0.55000000000000004">
      <c r="A20" s="2" t="s">
        <v>9</v>
      </c>
      <c r="B20" s="2">
        <f>293.8+56.3</f>
        <v>350.1</v>
      </c>
      <c r="C20" s="2">
        <f t="shared" si="2"/>
        <v>175.05</v>
      </c>
      <c r="D20" s="2">
        <f t="shared" si="3"/>
        <v>9.7250000000000014</v>
      </c>
      <c r="E20" s="16">
        <v>18</v>
      </c>
      <c r="H20" s="2" t="s">
        <v>9</v>
      </c>
      <c r="I20" s="2">
        <f>323.3+56.3</f>
        <v>379.6</v>
      </c>
      <c r="J20" s="2"/>
      <c r="K20" s="2">
        <f t="shared" si="1"/>
        <v>379.6</v>
      </c>
      <c r="L20" s="2">
        <f t="shared" si="5"/>
        <v>126.53333333333335</v>
      </c>
      <c r="M20" s="2">
        <f t="shared" si="6"/>
        <v>7.0296296296296301</v>
      </c>
    </row>
    <row r="21" spans="1:13" x14ac:dyDescent="0.55000000000000004">
      <c r="A21" s="2" t="s">
        <v>10</v>
      </c>
      <c r="B21" s="2">
        <f>464.59+74.56</f>
        <v>539.15</v>
      </c>
      <c r="C21" s="2">
        <f t="shared" si="2"/>
        <v>269.57499999999999</v>
      </c>
      <c r="D21" s="2">
        <f t="shared" si="3"/>
        <v>15.857352941176471</v>
      </c>
      <c r="E21" s="16">
        <v>17</v>
      </c>
      <c r="H21" s="2" t="s">
        <v>10</v>
      </c>
      <c r="I21" s="2">
        <f>475.54+74.56</f>
        <v>550.1</v>
      </c>
      <c r="J21" s="2"/>
      <c r="K21" s="2">
        <f t="shared" si="1"/>
        <v>550.1</v>
      </c>
      <c r="L21" s="2">
        <f t="shared" si="5"/>
        <v>183.36666666666667</v>
      </c>
      <c r="M21" s="2">
        <f t="shared" si="6"/>
        <v>10.786274509803922</v>
      </c>
    </row>
    <row r="22" spans="1:13" x14ac:dyDescent="0.55000000000000004">
      <c r="A22" s="2" t="s">
        <v>12</v>
      </c>
      <c r="B22" s="2">
        <f>197.93+209.91</f>
        <v>407.84000000000003</v>
      </c>
      <c r="C22" s="2">
        <f t="shared" si="2"/>
        <v>203.92000000000002</v>
      </c>
      <c r="D22" s="2">
        <f t="shared" si="3"/>
        <v>14.565714285714288</v>
      </c>
      <c r="E22" s="16">
        <v>14</v>
      </c>
      <c r="H22" s="2" t="s">
        <v>12</v>
      </c>
      <c r="I22" s="2">
        <f>197.93+209.91</f>
        <v>407.84000000000003</v>
      </c>
      <c r="J22" s="2"/>
      <c r="K22" s="2">
        <f t="shared" si="1"/>
        <v>407.84000000000003</v>
      </c>
      <c r="L22" s="2">
        <f t="shared" si="5"/>
        <v>135.94666666666669</v>
      </c>
      <c r="M22" s="2">
        <f t="shared" si="6"/>
        <v>9.7104761904761911</v>
      </c>
    </row>
    <row r="23" spans="1:13" x14ac:dyDescent="0.55000000000000004">
      <c r="A23" s="6" t="s">
        <v>22</v>
      </c>
      <c r="B23" s="6">
        <f>SUM(B24:B25)</f>
        <v>1385.1799999999998</v>
      </c>
      <c r="C23" s="6">
        <f t="shared" si="2"/>
        <v>692.58999999999992</v>
      </c>
      <c r="D23" s="6">
        <f t="shared" si="3"/>
        <v>12.36767857142857</v>
      </c>
      <c r="E23" s="16">
        <v>56</v>
      </c>
      <c r="H23" s="6" t="s">
        <v>22</v>
      </c>
      <c r="I23" s="6">
        <f>SUM(I24:I25)</f>
        <v>1398.21</v>
      </c>
      <c r="J23" s="6">
        <f t="shared" ref="J23" si="8">SUM(J24:J25)</f>
        <v>54.649999999999991</v>
      </c>
      <c r="K23" s="6">
        <f t="shared" si="1"/>
        <v>1452.8600000000001</v>
      </c>
      <c r="L23" s="6">
        <f t="shared" si="5"/>
        <v>484.28666666666669</v>
      </c>
      <c r="M23" s="6">
        <f t="shared" si="6"/>
        <v>8.6479761904761911</v>
      </c>
    </row>
    <row r="24" spans="1:13" x14ac:dyDescent="0.55000000000000004">
      <c r="A24" s="2" t="s">
        <v>11</v>
      </c>
      <c r="B24" s="2">
        <f>196.77+61.31</f>
        <v>258.08000000000004</v>
      </c>
      <c r="C24" s="2">
        <f t="shared" si="2"/>
        <v>129.04000000000002</v>
      </c>
      <c r="D24" s="2">
        <f t="shared" si="3"/>
        <v>6.4520000000000008</v>
      </c>
      <c r="E24" s="16">
        <v>20</v>
      </c>
      <c r="H24" s="2" t="s">
        <v>11</v>
      </c>
      <c r="I24" s="2">
        <f>209.44+61.31</f>
        <v>270.75</v>
      </c>
      <c r="J24" s="2"/>
      <c r="K24" s="2">
        <f t="shared" si="1"/>
        <v>270.75</v>
      </c>
      <c r="L24" s="2">
        <f t="shared" si="5"/>
        <v>90.25</v>
      </c>
      <c r="M24" s="2">
        <f t="shared" si="6"/>
        <v>4.5125000000000002</v>
      </c>
    </row>
    <row r="25" spans="1:13" x14ac:dyDescent="0.55000000000000004">
      <c r="A25" s="2" t="s">
        <v>8</v>
      </c>
      <c r="B25" s="2">
        <f>1004.48+122.62</f>
        <v>1127.0999999999999</v>
      </c>
      <c r="C25" s="2">
        <f t="shared" si="2"/>
        <v>563.54999999999995</v>
      </c>
      <c r="D25" s="2">
        <f t="shared" si="3"/>
        <v>15.654166666666665</v>
      </c>
      <c r="E25" s="16">
        <v>36</v>
      </c>
      <c r="H25" s="2" t="s">
        <v>8</v>
      </c>
      <c r="I25" s="2">
        <f>1004.84+122.62</f>
        <v>1127.46</v>
      </c>
      <c r="J25" s="2">
        <v>54.649999999999991</v>
      </c>
      <c r="K25" s="2">
        <f t="shared" si="1"/>
        <v>1182.1100000000001</v>
      </c>
      <c r="L25" s="2">
        <f t="shared" si="5"/>
        <v>394.03666666666669</v>
      </c>
      <c r="M25" s="2">
        <f t="shared" si="6"/>
        <v>10.945462962962964</v>
      </c>
    </row>
  </sheetData>
  <mergeCells count="8">
    <mergeCell ref="L2:L3"/>
    <mergeCell ref="M2:M3"/>
    <mergeCell ref="H1:M1"/>
    <mergeCell ref="A1:D1"/>
    <mergeCell ref="C2:C3"/>
    <mergeCell ref="D2:D3"/>
    <mergeCell ref="K2:K3"/>
    <mergeCell ref="E2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C536-07C1-437E-B197-253044AF0E2B}">
  <dimension ref="A1:M25"/>
  <sheetViews>
    <sheetView zoomScale="80" zoomScaleNormal="80" workbookViewId="0">
      <selection activeCell="E2" sqref="E2:E3"/>
    </sheetView>
  </sheetViews>
  <sheetFormatPr defaultRowHeight="24" x14ac:dyDescent="0.55000000000000004"/>
  <cols>
    <col min="1" max="1" width="37.75" style="1" bestFit="1" customWidth="1"/>
    <col min="2" max="4" width="16.625" style="1" customWidth="1"/>
    <col min="5" max="5" width="12.625" style="16" customWidth="1"/>
    <col min="6" max="7" width="12.625" style="1" customWidth="1"/>
    <col min="8" max="8" width="37.75" style="1" customWidth="1"/>
    <col min="9" max="13" width="16.625" style="1" customWidth="1"/>
    <col min="14" max="16384" width="9" style="1"/>
  </cols>
  <sheetData>
    <row r="1" spans="1:13" ht="27.75" x14ac:dyDescent="0.65">
      <c r="A1" s="21" t="s">
        <v>32</v>
      </c>
      <c r="B1" s="21"/>
      <c r="C1" s="21"/>
      <c r="D1" s="21"/>
      <c r="H1" s="21" t="s">
        <v>32</v>
      </c>
      <c r="I1" s="21"/>
      <c r="J1" s="21"/>
      <c r="K1" s="21"/>
      <c r="L1" s="21"/>
      <c r="M1" s="21"/>
    </row>
    <row r="2" spans="1:13" x14ac:dyDescent="0.55000000000000004">
      <c r="A2" s="2"/>
      <c r="B2" s="3" t="s">
        <v>25</v>
      </c>
      <c r="C2" s="24" t="s">
        <v>24</v>
      </c>
      <c r="D2" s="26" t="s">
        <v>26</v>
      </c>
      <c r="E2" s="31" t="s">
        <v>45</v>
      </c>
      <c r="F2" s="17"/>
      <c r="H2" s="2"/>
      <c r="I2" s="3" t="s">
        <v>25</v>
      </c>
      <c r="J2" s="7" t="s">
        <v>27</v>
      </c>
      <c r="K2" s="24" t="s">
        <v>23</v>
      </c>
      <c r="L2" s="24" t="s">
        <v>24</v>
      </c>
      <c r="M2" s="26" t="s">
        <v>26</v>
      </c>
    </row>
    <row r="3" spans="1:13" x14ac:dyDescent="0.55000000000000004">
      <c r="A3" s="2"/>
      <c r="B3" s="8" t="s">
        <v>30</v>
      </c>
      <c r="C3" s="25"/>
      <c r="D3" s="27"/>
      <c r="E3" s="31"/>
      <c r="F3" s="17"/>
      <c r="H3" s="2"/>
      <c r="I3" s="3" t="s">
        <v>29</v>
      </c>
      <c r="J3" s="3" t="s">
        <v>29</v>
      </c>
      <c r="K3" s="25"/>
      <c r="L3" s="25"/>
      <c r="M3" s="27"/>
    </row>
    <row r="4" spans="1:13" x14ac:dyDescent="0.55000000000000004">
      <c r="A4" s="4" t="s">
        <v>19</v>
      </c>
      <c r="B4" s="5">
        <f>SUM(B5,B18,B23)</f>
        <v>23416.402000000002</v>
      </c>
      <c r="C4" s="5">
        <f>B4/2</f>
        <v>11708.201000000001</v>
      </c>
      <c r="D4" s="5">
        <f>C4/E4</f>
        <v>23.605243951612906</v>
      </c>
      <c r="E4" s="30">
        <v>496</v>
      </c>
      <c r="F4" s="17"/>
      <c r="H4" s="4" t="s">
        <v>19</v>
      </c>
      <c r="I4" s="5">
        <f>SUM(I5,I18,I23)</f>
        <v>23914.042000000005</v>
      </c>
      <c r="J4" s="5">
        <f t="shared" ref="J4" si="0">SUM(J5,J18,J23)</f>
        <v>3241.1819999999998</v>
      </c>
      <c r="K4" s="5">
        <f t="shared" ref="K4:K25" si="1">SUM(I4:J4)</f>
        <v>27155.224000000006</v>
      </c>
      <c r="L4" s="5">
        <f>K4/3</f>
        <v>9051.7413333333352</v>
      </c>
      <c r="M4" s="5">
        <f>L4/E4</f>
        <v>18.249478494623659</v>
      </c>
    </row>
    <row r="5" spans="1:13" x14ac:dyDescent="0.55000000000000004">
      <c r="A5" s="6" t="s">
        <v>20</v>
      </c>
      <c r="B5" s="6">
        <f>SUM(B6:B17)</f>
        <v>17869.862000000001</v>
      </c>
      <c r="C5" s="6">
        <f t="shared" ref="C5:C25" si="2">B5/2</f>
        <v>8934.9310000000005</v>
      </c>
      <c r="D5" s="6">
        <f t="shared" ref="D5:D25" si="3">C5/E5</f>
        <v>31.132163763066202</v>
      </c>
      <c r="E5" s="30">
        <v>287</v>
      </c>
      <c r="F5" s="17"/>
      <c r="H5" s="6" t="s">
        <v>20</v>
      </c>
      <c r="I5" s="6">
        <f>SUM(I6:I17)</f>
        <v>18334.782000000003</v>
      </c>
      <c r="J5" s="6">
        <f t="shared" ref="J5" si="4">SUM(J6:J17)</f>
        <v>3066.8319999999999</v>
      </c>
      <c r="K5" s="6">
        <f t="shared" si="1"/>
        <v>21401.614000000001</v>
      </c>
      <c r="L5" s="6">
        <f t="shared" ref="L5:L25" si="5">K5/3</f>
        <v>7133.8713333333335</v>
      </c>
      <c r="M5" s="6">
        <f t="shared" ref="M5:M25" si="6">L5/E5</f>
        <v>24.856694541231128</v>
      </c>
    </row>
    <row r="6" spans="1:13" x14ac:dyDescent="0.55000000000000004">
      <c r="A6" s="2" t="s">
        <v>2</v>
      </c>
      <c r="B6" s="2">
        <f>3533.762+325.5</f>
        <v>3859.2620000000002</v>
      </c>
      <c r="C6" s="2">
        <f t="shared" si="2"/>
        <v>1929.6310000000001</v>
      </c>
      <c r="D6" s="2">
        <f t="shared" si="3"/>
        <v>29.236833333333333</v>
      </c>
      <c r="E6" s="16">
        <v>66</v>
      </c>
      <c r="H6" s="2" t="s">
        <v>2</v>
      </c>
      <c r="I6" s="2">
        <f>3558.742+325.5</f>
        <v>3884.2420000000002</v>
      </c>
      <c r="J6" s="2">
        <f>1319.49+9.83</f>
        <v>1329.32</v>
      </c>
      <c r="K6" s="2">
        <f t="shared" si="1"/>
        <v>5213.5619999999999</v>
      </c>
      <c r="L6" s="2">
        <f t="shared" si="5"/>
        <v>1737.854</v>
      </c>
      <c r="M6" s="2">
        <f t="shared" si="6"/>
        <v>26.331121212121214</v>
      </c>
    </row>
    <row r="7" spans="1:13" x14ac:dyDescent="0.55000000000000004">
      <c r="A7" s="2" t="s">
        <v>3</v>
      </c>
      <c r="B7" s="2">
        <f>4062.022+1580.19</f>
        <v>5642.2119999999995</v>
      </c>
      <c r="C7" s="2">
        <f t="shared" si="2"/>
        <v>2821.1059999999998</v>
      </c>
      <c r="D7" s="2">
        <f t="shared" si="3"/>
        <v>28.496020202020201</v>
      </c>
      <c r="E7" s="16">
        <v>99</v>
      </c>
      <c r="H7" s="2" t="s">
        <v>3</v>
      </c>
      <c r="I7" s="2">
        <f>4068.832+1583.86</f>
        <v>5652.692</v>
      </c>
      <c r="J7" s="2">
        <f>106.792+64.14</f>
        <v>170.93200000000002</v>
      </c>
      <c r="K7" s="2">
        <f t="shared" si="1"/>
        <v>5823.6239999999998</v>
      </c>
      <c r="L7" s="2">
        <f t="shared" si="5"/>
        <v>1941.2079999999999</v>
      </c>
      <c r="M7" s="2">
        <f t="shared" si="6"/>
        <v>19.608161616161613</v>
      </c>
    </row>
    <row r="8" spans="1:13" x14ac:dyDescent="0.55000000000000004">
      <c r="A8" s="2" t="s">
        <v>4</v>
      </c>
      <c r="B8" s="2">
        <f>2886.2+275.98</f>
        <v>3162.18</v>
      </c>
      <c r="C8" s="2">
        <f t="shared" si="2"/>
        <v>1581.09</v>
      </c>
      <c r="D8" s="2">
        <f t="shared" si="3"/>
        <v>47.911818181818177</v>
      </c>
      <c r="E8" s="16">
        <v>33</v>
      </c>
      <c r="H8" s="2" t="s">
        <v>4</v>
      </c>
      <c r="I8" s="2">
        <f>3039.7+275.98</f>
        <v>3315.68</v>
      </c>
      <c r="J8" s="2">
        <f>934.73+6.33</f>
        <v>941.06000000000006</v>
      </c>
      <c r="K8" s="2">
        <f t="shared" si="1"/>
        <v>4256.74</v>
      </c>
      <c r="L8" s="2">
        <f t="shared" si="5"/>
        <v>1418.9133333333332</v>
      </c>
      <c r="M8" s="2">
        <f t="shared" si="6"/>
        <v>42.997373737373735</v>
      </c>
    </row>
    <row r="9" spans="1:13" x14ac:dyDescent="0.55000000000000004">
      <c r="A9" s="2" t="s">
        <v>5</v>
      </c>
      <c r="B9" s="2">
        <f>2597.22+46.69</f>
        <v>2643.91</v>
      </c>
      <c r="C9" s="2">
        <f t="shared" si="2"/>
        <v>1321.9549999999999</v>
      </c>
      <c r="D9" s="2">
        <f t="shared" si="3"/>
        <v>41.311093749999998</v>
      </c>
      <c r="E9" s="16">
        <v>32</v>
      </c>
      <c r="H9" s="2" t="s">
        <v>5</v>
      </c>
      <c r="I9" s="2">
        <f>2699.39+46.69</f>
        <v>2746.08</v>
      </c>
      <c r="J9" s="2">
        <v>398.56</v>
      </c>
      <c r="K9" s="2">
        <f t="shared" si="1"/>
        <v>3144.64</v>
      </c>
      <c r="L9" s="2">
        <f t="shared" si="5"/>
        <v>1048.2133333333334</v>
      </c>
      <c r="M9" s="2">
        <f t="shared" si="6"/>
        <v>32.756666666666668</v>
      </c>
    </row>
    <row r="10" spans="1:13" x14ac:dyDescent="0.55000000000000004">
      <c r="A10" s="2" t="s">
        <v>6</v>
      </c>
      <c r="B10" s="2">
        <v>784.58999999999992</v>
      </c>
      <c r="C10" s="2">
        <f t="shared" si="2"/>
        <v>392.29499999999996</v>
      </c>
      <c r="D10" s="2">
        <f t="shared" si="3"/>
        <v>9.5681707317073155</v>
      </c>
      <c r="E10" s="16">
        <v>41</v>
      </c>
      <c r="H10" s="2" t="s">
        <v>6</v>
      </c>
      <c r="I10" s="2">
        <v>792.70999999999992</v>
      </c>
      <c r="J10" s="2"/>
      <c r="K10" s="2">
        <f t="shared" si="1"/>
        <v>792.70999999999992</v>
      </c>
      <c r="L10" s="2">
        <f t="shared" si="5"/>
        <v>264.23666666666662</v>
      </c>
      <c r="M10" s="2">
        <f t="shared" si="6"/>
        <v>6.4447967479674784</v>
      </c>
    </row>
    <row r="11" spans="1:13" x14ac:dyDescent="0.55000000000000004">
      <c r="A11" s="2" t="s">
        <v>13</v>
      </c>
      <c r="B11" s="2">
        <f>335.5+256.91</f>
        <v>592.41000000000008</v>
      </c>
      <c r="C11" s="2">
        <f t="shared" si="2"/>
        <v>296.20500000000004</v>
      </c>
      <c r="D11" s="2">
        <f t="shared" si="3"/>
        <v>37.025625000000005</v>
      </c>
      <c r="E11" s="16">
        <v>8</v>
      </c>
      <c r="H11" s="2" t="s">
        <v>13</v>
      </c>
      <c r="I11" s="2">
        <f>481.17+256.91</f>
        <v>738.08</v>
      </c>
      <c r="J11" s="2">
        <f>126.66+16.16</f>
        <v>142.82</v>
      </c>
      <c r="K11" s="2">
        <f t="shared" si="1"/>
        <v>880.90000000000009</v>
      </c>
      <c r="L11" s="2">
        <f t="shared" si="5"/>
        <v>293.63333333333338</v>
      </c>
      <c r="M11" s="2">
        <f t="shared" si="6"/>
        <v>36.704166666666673</v>
      </c>
    </row>
    <row r="12" spans="1:13" x14ac:dyDescent="0.55000000000000004">
      <c r="A12" s="2" t="s">
        <v>14</v>
      </c>
      <c r="B12" s="2">
        <v>245.84399999999999</v>
      </c>
      <c r="C12" s="2">
        <f t="shared" si="2"/>
        <v>122.922</v>
      </c>
      <c r="D12" s="2">
        <f t="shared" si="3"/>
        <v>122.922</v>
      </c>
      <c r="E12" s="16">
        <v>1</v>
      </c>
      <c r="H12" s="2" t="s">
        <v>14</v>
      </c>
      <c r="I12" s="2">
        <v>245.84399999999999</v>
      </c>
      <c r="J12" s="2">
        <v>44.75</v>
      </c>
      <c r="K12" s="2">
        <f t="shared" si="1"/>
        <v>290.59399999999999</v>
      </c>
      <c r="L12" s="2">
        <f t="shared" si="5"/>
        <v>96.864666666666665</v>
      </c>
      <c r="M12" s="2">
        <f t="shared" si="6"/>
        <v>96.864666666666665</v>
      </c>
    </row>
    <row r="13" spans="1:13" x14ac:dyDescent="0.55000000000000004">
      <c r="A13" s="2" t="s">
        <v>15</v>
      </c>
      <c r="B13" s="2">
        <v>252.14400000000001</v>
      </c>
      <c r="C13" s="2">
        <f t="shared" si="2"/>
        <v>126.072</v>
      </c>
      <c r="D13" s="2">
        <f t="shared" si="3"/>
        <v>63.036000000000001</v>
      </c>
      <c r="E13" s="16">
        <v>2</v>
      </c>
      <c r="H13" s="2" t="s">
        <v>15</v>
      </c>
      <c r="I13" s="2">
        <v>252.14400000000001</v>
      </c>
      <c r="J13" s="2">
        <v>5.4</v>
      </c>
      <c r="K13" s="2">
        <f t="shared" si="1"/>
        <v>257.54399999999998</v>
      </c>
      <c r="L13" s="2">
        <f t="shared" si="5"/>
        <v>85.847999999999999</v>
      </c>
      <c r="M13" s="2">
        <f t="shared" si="6"/>
        <v>42.923999999999999</v>
      </c>
    </row>
    <row r="14" spans="1:13" x14ac:dyDescent="0.55000000000000004">
      <c r="A14" s="2" t="s">
        <v>16</v>
      </c>
      <c r="B14" s="2">
        <v>3.8</v>
      </c>
      <c r="C14" s="2">
        <f t="shared" si="2"/>
        <v>1.9</v>
      </c>
      <c r="D14" s="2"/>
      <c r="H14" s="2" t="s">
        <v>16</v>
      </c>
      <c r="I14" s="2">
        <v>3.8</v>
      </c>
      <c r="J14" s="2"/>
      <c r="K14" s="2">
        <f t="shared" si="1"/>
        <v>3.8</v>
      </c>
      <c r="L14" s="2">
        <f t="shared" si="5"/>
        <v>1.2666666666666666</v>
      </c>
      <c r="M14" s="2"/>
    </row>
    <row r="15" spans="1:13" x14ac:dyDescent="0.55000000000000004">
      <c r="A15" s="2" t="s">
        <v>17</v>
      </c>
      <c r="B15" s="2">
        <v>44.28</v>
      </c>
      <c r="C15" s="2">
        <f t="shared" si="2"/>
        <v>22.14</v>
      </c>
      <c r="D15" s="2"/>
      <c r="H15" s="2" t="s">
        <v>17</v>
      </c>
      <c r="I15" s="2">
        <v>44.28</v>
      </c>
      <c r="J15" s="2">
        <v>2.83</v>
      </c>
      <c r="K15" s="2">
        <f t="shared" si="1"/>
        <v>47.11</v>
      </c>
      <c r="L15" s="2">
        <f t="shared" si="5"/>
        <v>15.703333333333333</v>
      </c>
      <c r="M15" s="2"/>
    </row>
    <row r="16" spans="1:13" x14ac:dyDescent="0.55000000000000004">
      <c r="A16" s="2" t="s">
        <v>28</v>
      </c>
      <c r="B16" s="2">
        <v>198.94</v>
      </c>
      <c r="C16" s="2">
        <f t="shared" si="2"/>
        <v>99.47</v>
      </c>
      <c r="D16" s="2"/>
      <c r="H16" s="2" t="s">
        <v>28</v>
      </c>
      <c r="I16" s="2">
        <v>198.94</v>
      </c>
      <c r="J16" s="2"/>
      <c r="K16" s="2">
        <f t="shared" si="1"/>
        <v>198.94</v>
      </c>
      <c r="L16" s="2">
        <f t="shared" si="5"/>
        <v>66.313333333333333</v>
      </c>
      <c r="M16" s="2"/>
    </row>
    <row r="17" spans="1:13" x14ac:dyDescent="0.55000000000000004">
      <c r="A17" s="2" t="s">
        <v>19</v>
      </c>
      <c r="B17" s="2">
        <v>440.29</v>
      </c>
      <c r="C17" s="2">
        <f t="shared" si="2"/>
        <v>220.14500000000001</v>
      </c>
      <c r="D17" s="2">
        <f t="shared" si="3"/>
        <v>44.029000000000003</v>
      </c>
      <c r="E17" s="16">
        <v>5</v>
      </c>
      <c r="H17" s="2" t="s">
        <v>19</v>
      </c>
      <c r="I17" s="2">
        <v>460.29</v>
      </c>
      <c r="J17" s="2">
        <v>31.16</v>
      </c>
      <c r="K17" s="2">
        <f t="shared" si="1"/>
        <v>491.45000000000005</v>
      </c>
      <c r="L17" s="2">
        <f t="shared" si="5"/>
        <v>163.81666666666669</v>
      </c>
      <c r="M17" s="2">
        <f t="shared" si="6"/>
        <v>32.763333333333335</v>
      </c>
    </row>
    <row r="18" spans="1:13" x14ac:dyDescent="0.55000000000000004">
      <c r="A18" s="6" t="s">
        <v>21</v>
      </c>
      <c r="B18" s="6">
        <f>SUM(B19:B22)</f>
        <v>4227.6499999999996</v>
      </c>
      <c r="C18" s="6">
        <f t="shared" si="2"/>
        <v>2113.8249999999998</v>
      </c>
      <c r="D18" s="6">
        <f t="shared" si="3"/>
        <v>13.463853503184712</v>
      </c>
      <c r="E18" s="16">
        <v>157</v>
      </c>
      <c r="H18" s="6" t="s">
        <v>21</v>
      </c>
      <c r="I18" s="6">
        <f>SUM(I19:I22)</f>
        <v>4248.8099999999995</v>
      </c>
      <c r="J18" s="6">
        <f t="shared" ref="J18" si="7">SUM(J19:J22)</f>
        <v>111.27</v>
      </c>
      <c r="K18" s="6">
        <f t="shared" si="1"/>
        <v>4360.08</v>
      </c>
      <c r="L18" s="6">
        <f t="shared" si="5"/>
        <v>1453.36</v>
      </c>
      <c r="M18" s="6">
        <f t="shared" si="6"/>
        <v>9.2570700636942664</v>
      </c>
    </row>
    <row r="19" spans="1:13" x14ac:dyDescent="0.55000000000000004">
      <c r="A19" s="2" t="s">
        <v>7</v>
      </c>
      <c r="B19" s="2">
        <f>2655.02+709.58</f>
        <v>3364.6</v>
      </c>
      <c r="C19" s="2">
        <f t="shared" si="2"/>
        <v>1682.3</v>
      </c>
      <c r="D19" s="2">
        <f t="shared" si="3"/>
        <v>15.576851851851851</v>
      </c>
      <c r="E19" s="16">
        <v>108</v>
      </c>
      <c r="H19" s="2" t="s">
        <v>7</v>
      </c>
      <c r="I19" s="2">
        <f>2668.74+709.58</f>
        <v>3378.3199999999997</v>
      </c>
      <c r="J19" s="2">
        <f>64.12+30.99</f>
        <v>95.11</v>
      </c>
      <c r="K19" s="2">
        <f t="shared" si="1"/>
        <v>3473.43</v>
      </c>
      <c r="L19" s="2">
        <f t="shared" si="5"/>
        <v>1157.81</v>
      </c>
      <c r="M19" s="2">
        <f t="shared" si="6"/>
        <v>10.720462962962962</v>
      </c>
    </row>
    <row r="20" spans="1:13" x14ac:dyDescent="0.55000000000000004">
      <c r="A20" s="2" t="s">
        <v>9</v>
      </c>
      <c r="B20" s="2">
        <f>345.69+47.47</f>
        <v>393.15999999999997</v>
      </c>
      <c r="C20" s="2">
        <f t="shared" si="2"/>
        <v>196.57999999999998</v>
      </c>
      <c r="D20" s="2">
        <f t="shared" si="3"/>
        <v>11.563529411764705</v>
      </c>
      <c r="E20" s="16">
        <v>17</v>
      </c>
      <c r="H20" s="2" t="s">
        <v>9</v>
      </c>
      <c r="I20" s="2">
        <f>349.8+47.47</f>
        <v>397.27</v>
      </c>
      <c r="J20" s="2">
        <v>16.16</v>
      </c>
      <c r="K20" s="2">
        <f t="shared" si="1"/>
        <v>413.43</v>
      </c>
      <c r="L20" s="2">
        <f t="shared" si="5"/>
        <v>137.81</v>
      </c>
      <c r="M20" s="2">
        <f t="shared" si="6"/>
        <v>8.106470588235295</v>
      </c>
    </row>
    <row r="21" spans="1:13" x14ac:dyDescent="0.55000000000000004">
      <c r="A21" s="2" t="s">
        <v>10</v>
      </c>
      <c r="B21" s="2">
        <f>248.11+28.28</f>
        <v>276.39</v>
      </c>
      <c r="C21" s="2">
        <f t="shared" si="2"/>
        <v>138.19499999999999</v>
      </c>
      <c r="D21" s="2">
        <f t="shared" si="3"/>
        <v>7.6774999999999993</v>
      </c>
      <c r="E21" s="16">
        <v>18</v>
      </c>
      <c r="H21" s="2" t="s">
        <v>10</v>
      </c>
      <c r="I21" s="2">
        <f>250.11+28.28</f>
        <v>278.39</v>
      </c>
      <c r="J21" s="2"/>
      <c r="K21" s="2">
        <f t="shared" si="1"/>
        <v>278.39</v>
      </c>
      <c r="L21" s="2">
        <f t="shared" si="5"/>
        <v>92.796666666666667</v>
      </c>
      <c r="M21" s="2">
        <f t="shared" si="6"/>
        <v>5.1553703703703704</v>
      </c>
    </row>
    <row r="22" spans="1:13" x14ac:dyDescent="0.55000000000000004">
      <c r="A22" s="2" t="s">
        <v>12</v>
      </c>
      <c r="B22" s="2">
        <f>145.05+48.45</f>
        <v>193.5</v>
      </c>
      <c r="C22" s="2">
        <f t="shared" si="2"/>
        <v>96.75</v>
      </c>
      <c r="D22" s="2">
        <f t="shared" si="3"/>
        <v>6.9107142857142856</v>
      </c>
      <c r="E22" s="16">
        <v>14</v>
      </c>
      <c r="H22" s="2" t="s">
        <v>12</v>
      </c>
      <c r="I22" s="2">
        <f>146.38+48.45</f>
        <v>194.82999999999998</v>
      </c>
      <c r="J22" s="2"/>
      <c r="K22" s="2">
        <f t="shared" si="1"/>
        <v>194.82999999999998</v>
      </c>
      <c r="L22" s="2">
        <f t="shared" si="5"/>
        <v>64.943333333333328</v>
      </c>
      <c r="M22" s="2">
        <f t="shared" si="6"/>
        <v>4.638809523809523</v>
      </c>
    </row>
    <row r="23" spans="1:13" x14ac:dyDescent="0.55000000000000004">
      <c r="A23" s="6" t="s">
        <v>22</v>
      </c>
      <c r="B23" s="6">
        <f>SUM(B24:B25)</f>
        <v>1318.8899999999999</v>
      </c>
      <c r="C23" s="6">
        <f t="shared" si="2"/>
        <v>659.44499999999994</v>
      </c>
      <c r="D23" s="6">
        <f t="shared" si="3"/>
        <v>12.681634615384613</v>
      </c>
      <c r="E23" s="16">
        <v>52</v>
      </c>
      <c r="H23" s="6" t="s">
        <v>22</v>
      </c>
      <c r="I23" s="6">
        <f>SUM(I24:I25)</f>
        <v>1330.45</v>
      </c>
      <c r="J23" s="6">
        <f t="shared" ref="J23" si="8">SUM(J24:J25)</f>
        <v>63.08</v>
      </c>
      <c r="K23" s="6">
        <f t="shared" si="1"/>
        <v>1393.53</v>
      </c>
      <c r="L23" s="6">
        <f t="shared" si="5"/>
        <v>464.51</v>
      </c>
      <c r="M23" s="6">
        <f t="shared" si="6"/>
        <v>8.9328846153846158</v>
      </c>
    </row>
    <row r="24" spans="1:13" x14ac:dyDescent="0.55000000000000004">
      <c r="A24" s="2" t="s">
        <v>11</v>
      </c>
      <c r="B24" s="2">
        <f>97.55+45.99</f>
        <v>143.54</v>
      </c>
      <c r="C24" s="2">
        <f t="shared" si="2"/>
        <v>71.77</v>
      </c>
      <c r="D24" s="2">
        <f t="shared" si="3"/>
        <v>4.4856249999999998</v>
      </c>
      <c r="E24" s="16">
        <v>16</v>
      </c>
      <c r="H24" s="2" t="s">
        <v>11</v>
      </c>
      <c r="I24" s="2">
        <f>108.44+45.99</f>
        <v>154.43</v>
      </c>
      <c r="J24" s="2"/>
      <c r="K24" s="2">
        <f t="shared" si="1"/>
        <v>154.43</v>
      </c>
      <c r="L24" s="2">
        <f t="shared" si="5"/>
        <v>51.476666666666667</v>
      </c>
      <c r="M24" s="2">
        <f t="shared" si="6"/>
        <v>3.2172916666666667</v>
      </c>
    </row>
    <row r="25" spans="1:13" x14ac:dyDescent="0.55000000000000004">
      <c r="A25" s="2" t="s">
        <v>8</v>
      </c>
      <c r="B25" s="2">
        <f>975.26+200.09</f>
        <v>1175.3499999999999</v>
      </c>
      <c r="C25" s="2">
        <f t="shared" si="2"/>
        <v>587.67499999999995</v>
      </c>
      <c r="D25" s="2">
        <f t="shared" si="3"/>
        <v>16.324305555555554</v>
      </c>
      <c r="E25" s="16">
        <v>36</v>
      </c>
      <c r="H25" s="2" t="s">
        <v>8</v>
      </c>
      <c r="I25" s="2">
        <f>975.93+200.09</f>
        <v>1176.02</v>
      </c>
      <c r="J25" s="2">
        <v>63.08</v>
      </c>
      <c r="K25" s="2">
        <f t="shared" si="1"/>
        <v>1239.0999999999999</v>
      </c>
      <c r="L25" s="2">
        <f t="shared" si="5"/>
        <v>413.0333333333333</v>
      </c>
      <c r="M25" s="2">
        <f t="shared" si="6"/>
        <v>11.473148148148148</v>
      </c>
    </row>
  </sheetData>
  <mergeCells count="8">
    <mergeCell ref="M2:M3"/>
    <mergeCell ref="H1:M1"/>
    <mergeCell ref="A1:D1"/>
    <mergeCell ref="C2:C3"/>
    <mergeCell ref="D2:D3"/>
    <mergeCell ref="K2:K3"/>
    <mergeCell ref="L2:L3"/>
    <mergeCell ref="E2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B0B2-651B-4C20-942A-BCEF5F47A0D1}">
  <dimension ref="A1:M25"/>
  <sheetViews>
    <sheetView topLeftCell="A4" zoomScale="80" zoomScaleNormal="80" workbookViewId="0">
      <selection activeCell="O15" sqref="O15"/>
    </sheetView>
  </sheetViews>
  <sheetFormatPr defaultRowHeight="24" x14ac:dyDescent="0.55000000000000004"/>
  <cols>
    <col min="1" max="1" width="37.75" style="1" bestFit="1" customWidth="1"/>
    <col min="2" max="4" width="16.625" style="1" customWidth="1"/>
    <col min="5" max="5" width="12.625" style="16" customWidth="1"/>
    <col min="6" max="7" width="12.625" style="1" customWidth="1"/>
    <col min="8" max="8" width="37.75" style="1" customWidth="1"/>
    <col min="9" max="13" width="16.625" style="1" customWidth="1"/>
    <col min="14" max="16384" width="9" style="1"/>
  </cols>
  <sheetData>
    <row r="1" spans="1:13" ht="27.75" x14ac:dyDescent="0.65">
      <c r="A1" s="21" t="s">
        <v>31</v>
      </c>
      <c r="B1" s="21"/>
      <c r="C1" s="21"/>
      <c r="D1" s="21"/>
      <c r="H1" s="21" t="s">
        <v>31</v>
      </c>
      <c r="I1" s="21"/>
      <c r="J1" s="21"/>
      <c r="K1" s="21"/>
      <c r="L1" s="21"/>
      <c r="M1" s="21"/>
    </row>
    <row r="2" spans="1:13" x14ac:dyDescent="0.55000000000000004">
      <c r="A2" s="2"/>
      <c r="B2" s="3" t="s">
        <v>25</v>
      </c>
      <c r="C2" s="24" t="s">
        <v>24</v>
      </c>
      <c r="D2" s="26" t="s">
        <v>26</v>
      </c>
      <c r="E2" s="32" t="s">
        <v>45</v>
      </c>
      <c r="F2" s="16"/>
      <c r="H2" s="2"/>
      <c r="I2" s="3" t="s">
        <v>25</v>
      </c>
      <c r="J2" s="7" t="s">
        <v>27</v>
      </c>
      <c r="K2" s="24" t="s">
        <v>23</v>
      </c>
      <c r="L2" s="24" t="s">
        <v>24</v>
      </c>
      <c r="M2" s="26" t="s">
        <v>26</v>
      </c>
    </row>
    <row r="3" spans="1:13" x14ac:dyDescent="0.55000000000000004">
      <c r="A3" s="2"/>
      <c r="B3" s="8" t="s">
        <v>30</v>
      </c>
      <c r="C3" s="25"/>
      <c r="D3" s="27"/>
      <c r="E3" s="32"/>
      <c r="F3" s="16"/>
      <c r="H3" s="2"/>
      <c r="I3" s="3" t="s">
        <v>29</v>
      </c>
      <c r="J3" s="3" t="s">
        <v>29</v>
      </c>
      <c r="K3" s="25"/>
      <c r="L3" s="25"/>
      <c r="M3" s="27"/>
    </row>
    <row r="4" spans="1:13" x14ac:dyDescent="0.55000000000000004">
      <c r="A4" s="4" t="s">
        <v>19</v>
      </c>
      <c r="B4" s="5">
        <f>SUM(B5,B18,B23)</f>
        <v>20140.754000000001</v>
      </c>
      <c r="C4" s="5">
        <f>B4/2</f>
        <v>10070.377</v>
      </c>
      <c r="D4" s="5">
        <f>C4/E4</f>
        <v>20.979952083333334</v>
      </c>
      <c r="E4" s="16">
        <v>480</v>
      </c>
      <c r="F4" s="16"/>
      <c r="H4" s="4" t="s">
        <v>19</v>
      </c>
      <c r="I4" s="5">
        <f>SUM(I5,I18,I23)</f>
        <v>20462.344000000001</v>
      </c>
      <c r="J4" s="5">
        <f t="shared" ref="J4" si="0">SUM(J5,J18,J23)</f>
        <v>3484.7340000000004</v>
      </c>
      <c r="K4" s="5">
        <f t="shared" ref="K4:K25" si="1">SUM(I4:J4)</f>
        <v>23947.078000000001</v>
      </c>
      <c r="L4" s="5">
        <f>K4/3</f>
        <v>7982.3593333333338</v>
      </c>
      <c r="M4" s="5">
        <f>L4/E4</f>
        <v>16.62991527777778</v>
      </c>
    </row>
    <row r="5" spans="1:13" x14ac:dyDescent="0.55000000000000004">
      <c r="A5" s="6" t="s">
        <v>20</v>
      </c>
      <c r="B5" s="6">
        <f>SUM(B6:B17)</f>
        <v>14586.260000000002</v>
      </c>
      <c r="C5" s="6">
        <f t="shared" ref="C5:C25" si="2">B5/2</f>
        <v>7293.130000000001</v>
      </c>
      <c r="D5" s="6">
        <f t="shared" ref="D5:D25" si="3">C5/E5</f>
        <v>25.770777385159015</v>
      </c>
      <c r="E5" s="16">
        <v>283</v>
      </c>
      <c r="F5" s="16"/>
      <c r="H5" s="6" t="s">
        <v>20</v>
      </c>
      <c r="I5" s="6">
        <f>SUM(I6:I17)</f>
        <v>14836.29</v>
      </c>
      <c r="J5" s="6">
        <f t="shared" ref="J5" si="4">SUM(J6:J17)</f>
        <v>3321.4740000000002</v>
      </c>
      <c r="K5" s="6">
        <f t="shared" si="1"/>
        <v>18157.764000000003</v>
      </c>
      <c r="L5" s="6">
        <f t="shared" ref="L5:L25" si="5">K5/3</f>
        <v>6052.5880000000006</v>
      </c>
      <c r="M5" s="6">
        <f t="shared" ref="M5:M25" si="6">L5/E5</f>
        <v>21.38723674911661</v>
      </c>
    </row>
    <row r="6" spans="1:13" x14ac:dyDescent="0.55000000000000004">
      <c r="A6" s="2" t="s">
        <v>2</v>
      </c>
      <c r="B6" s="2">
        <f>2665.27+172.16</f>
        <v>2837.43</v>
      </c>
      <c r="C6" s="2">
        <f t="shared" si="2"/>
        <v>1418.7149999999999</v>
      </c>
      <c r="D6" s="2">
        <f t="shared" si="3"/>
        <v>22.519285714285711</v>
      </c>
      <c r="E6" s="16">
        <v>63</v>
      </c>
      <c r="H6" s="2" t="s">
        <v>2</v>
      </c>
      <c r="I6" s="2">
        <f>2684.57+172.16</f>
        <v>2856.73</v>
      </c>
      <c r="J6" s="2">
        <f>1299.892+6.57</f>
        <v>1306.462</v>
      </c>
      <c r="K6" s="2">
        <f t="shared" si="1"/>
        <v>4163.192</v>
      </c>
      <c r="L6" s="2">
        <f t="shared" si="5"/>
        <v>1387.7306666666666</v>
      </c>
      <c r="M6" s="2">
        <f t="shared" si="6"/>
        <v>22.027470899470899</v>
      </c>
    </row>
    <row r="7" spans="1:13" x14ac:dyDescent="0.55000000000000004">
      <c r="A7" s="2" t="s">
        <v>3</v>
      </c>
      <c r="B7" s="2">
        <f>3749.936+1320.01</f>
        <v>5069.9459999999999</v>
      </c>
      <c r="C7" s="2">
        <f t="shared" si="2"/>
        <v>2534.973</v>
      </c>
      <c r="D7" s="2">
        <f t="shared" si="3"/>
        <v>24.374740384615386</v>
      </c>
      <c r="E7" s="16">
        <v>104</v>
      </c>
      <c r="H7" s="2" t="s">
        <v>3</v>
      </c>
      <c r="I7" s="2">
        <f>3753.436+1327.34</f>
        <v>5080.7759999999998</v>
      </c>
      <c r="J7" s="2">
        <f>93.582+189.96</f>
        <v>283.54200000000003</v>
      </c>
      <c r="K7" s="2">
        <f t="shared" si="1"/>
        <v>5364.3180000000002</v>
      </c>
      <c r="L7" s="2">
        <f t="shared" si="5"/>
        <v>1788.106</v>
      </c>
      <c r="M7" s="2">
        <f t="shared" si="6"/>
        <v>17.193326923076924</v>
      </c>
    </row>
    <row r="8" spans="1:13" x14ac:dyDescent="0.55000000000000004">
      <c r="A8" s="2" t="s">
        <v>4</v>
      </c>
      <c r="B8" s="2">
        <f>2820.32+162.78</f>
        <v>2983.1000000000004</v>
      </c>
      <c r="C8" s="2">
        <f t="shared" si="2"/>
        <v>1491.5500000000002</v>
      </c>
      <c r="D8" s="2">
        <f t="shared" si="3"/>
        <v>43.869117647058829</v>
      </c>
      <c r="E8" s="16">
        <v>34</v>
      </c>
      <c r="H8" s="2" t="s">
        <v>4</v>
      </c>
      <c r="I8" s="2">
        <f>2926.05+162.78</f>
        <v>3088.8300000000004</v>
      </c>
      <c r="J8" s="2">
        <f>1319.85+3.95</f>
        <v>1323.8</v>
      </c>
      <c r="K8" s="2">
        <f t="shared" si="1"/>
        <v>4412.63</v>
      </c>
      <c r="L8" s="2">
        <f t="shared" si="5"/>
        <v>1470.8766666666668</v>
      </c>
      <c r="M8" s="2">
        <f t="shared" si="6"/>
        <v>43.261078431372553</v>
      </c>
    </row>
    <row r="9" spans="1:13" x14ac:dyDescent="0.55000000000000004">
      <c r="A9" s="2" t="s">
        <v>5</v>
      </c>
      <c r="B9" s="2">
        <f>2340.79+29.63</f>
        <v>2370.42</v>
      </c>
      <c r="C9" s="2">
        <f t="shared" si="2"/>
        <v>1185.21</v>
      </c>
      <c r="D9" s="2">
        <f t="shared" si="3"/>
        <v>47.4084</v>
      </c>
      <c r="E9" s="16">
        <v>25</v>
      </c>
      <c r="H9" s="2" t="s">
        <v>5</v>
      </c>
      <c r="I9" s="2">
        <f>2431.51+29.63</f>
        <v>2461.1400000000003</v>
      </c>
      <c r="J9" s="2">
        <v>339.38</v>
      </c>
      <c r="K9" s="2">
        <f t="shared" si="1"/>
        <v>2800.5200000000004</v>
      </c>
      <c r="L9" s="2">
        <f t="shared" si="5"/>
        <v>933.50666666666677</v>
      </c>
      <c r="M9" s="2">
        <f t="shared" si="6"/>
        <v>37.340266666666672</v>
      </c>
    </row>
    <row r="10" spans="1:13" x14ac:dyDescent="0.55000000000000004">
      <c r="A10" s="2" t="s">
        <v>6</v>
      </c>
      <c r="B10" s="2">
        <f>787.72+6.11</f>
        <v>793.83</v>
      </c>
      <c r="C10" s="2">
        <f t="shared" si="2"/>
        <v>396.91500000000002</v>
      </c>
      <c r="D10" s="2">
        <f t="shared" si="3"/>
        <v>9.4503571428571433</v>
      </c>
      <c r="E10" s="16">
        <v>42</v>
      </c>
      <c r="H10" s="2" t="s">
        <v>6</v>
      </c>
      <c r="I10" s="2">
        <f>790.83+6.11</f>
        <v>796.94</v>
      </c>
      <c r="J10" s="2"/>
      <c r="K10" s="2">
        <f t="shared" si="1"/>
        <v>796.94</v>
      </c>
      <c r="L10" s="2">
        <f t="shared" si="5"/>
        <v>265.6466666666667</v>
      </c>
      <c r="M10" s="2">
        <f t="shared" si="6"/>
        <v>6.3249206349206357</v>
      </c>
    </row>
    <row r="11" spans="1:13" x14ac:dyDescent="0.55000000000000004">
      <c r="A11" s="2" t="s">
        <v>13</v>
      </c>
      <c r="B11" s="2">
        <v>182.7</v>
      </c>
      <c r="C11" s="2">
        <f t="shared" si="2"/>
        <v>91.35</v>
      </c>
      <c r="D11" s="2">
        <f t="shared" si="3"/>
        <v>13.049999999999999</v>
      </c>
      <c r="E11" s="16">
        <v>7</v>
      </c>
      <c r="H11" s="2" t="s">
        <v>13</v>
      </c>
      <c r="I11" s="2">
        <v>187.37</v>
      </c>
      <c r="J11" s="2">
        <v>46.12</v>
      </c>
      <c r="K11" s="2">
        <f t="shared" si="1"/>
        <v>233.49</v>
      </c>
      <c r="L11" s="2">
        <f t="shared" si="5"/>
        <v>77.83</v>
      </c>
      <c r="M11" s="2">
        <f t="shared" si="6"/>
        <v>11.118571428571428</v>
      </c>
    </row>
    <row r="12" spans="1:13" x14ac:dyDescent="0.55000000000000004">
      <c r="A12" s="2" t="s">
        <v>14</v>
      </c>
      <c r="B12" s="2"/>
      <c r="C12" s="2">
        <f t="shared" si="2"/>
        <v>0</v>
      </c>
      <c r="D12" s="2">
        <f t="shared" si="3"/>
        <v>0</v>
      </c>
      <c r="E12" s="16">
        <v>1</v>
      </c>
      <c r="H12" s="2" t="s">
        <v>14</v>
      </c>
      <c r="I12" s="2"/>
      <c r="J12" s="2">
        <v>8</v>
      </c>
      <c r="K12" s="2">
        <f t="shared" si="1"/>
        <v>8</v>
      </c>
      <c r="L12" s="2">
        <f t="shared" si="5"/>
        <v>2.6666666666666665</v>
      </c>
      <c r="M12" s="2">
        <f t="shared" si="6"/>
        <v>2.6666666666666665</v>
      </c>
    </row>
    <row r="13" spans="1:13" x14ac:dyDescent="0.55000000000000004">
      <c r="A13" s="2" t="s">
        <v>15</v>
      </c>
      <c r="B13" s="2">
        <v>108.324</v>
      </c>
      <c r="C13" s="2">
        <f t="shared" si="2"/>
        <v>54.161999999999999</v>
      </c>
      <c r="D13" s="2">
        <f t="shared" si="3"/>
        <v>18.053999999999998</v>
      </c>
      <c r="E13" s="16">
        <v>3</v>
      </c>
      <c r="H13" s="2" t="s">
        <v>15</v>
      </c>
      <c r="I13" s="2">
        <v>108.324</v>
      </c>
      <c r="J13" s="2"/>
      <c r="K13" s="2">
        <f t="shared" si="1"/>
        <v>108.324</v>
      </c>
      <c r="L13" s="2">
        <f t="shared" si="5"/>
        <v>36.107999999999997</v>
      </c>
      <c r="M13" s="2">
        <f t="shared" si="6"/>
        <v>12.036</v>
      </c>
    </row>
    <row r="14" spans="1:13" x14ac:dyDescent="0.55000000000000004">
      <c r="A14" s="2" t="s">
        <v>16</v>
      </c>
      <c r="B14" s="2">
        <v>14.95</v>
      </c>
      <c r="C14" s="2">
        <f t="shared" si="2"/>
        <v>7.4749999999999996</v>
      </c>
      <c r="D14" s="2"/>
      <c r="H14" s="2" t="s">
        <v>16</v>
      </c>
      <c r="I14" s="2">
        <v>14.95</v>
      </c>
      <c r="J14" s="2"/>
      <c r="K14" s="2">
        <f t="shared" si="1"/>
        <v>14.95</v>
      </c>
      <c r="L14" s="2">
        <f t="shared" si="5"/>
        <v>4.9833333333333334</v>
      </c>
      <c r="M14" s="2"/>
    </row>
    <row r="15" spans="1:13" x14ac:dyDescent="0.55000000000000004">
      <c r="A15" s="2" t="s">
        <v>17</v>
      </c>
      <c r="B15" s="2">
        <v>31.8</v>
      </c>
      <c r="C15" s="2">
        <f t="shared" si="2"/>
        <v>15.9</v>
      </c>
      <c r="D15" s="2"/>
      <c r="H15" s="2" t="s">
        <v>17</v>
      </c>
      <c r="I15" s="2">
        <v>31.8</v>
      </c>
      <c r="J15" s="2"/>
      <c r="K15" s="2">
        <f t="shared" si="1"/>
        <v>31.8</v>
      </c>
      <c r="L15" s="2">
        <f t="shared" si="5"/>
        <v>10.6</v>
      </c>
      <c r="M15" s="2"/>
    </row>
    <row r="16" spans="1:13" x14ac:dyDescent="0.55000000000000004">
      <c r="A16" s="2" t="s">
        <v>28</v>
      </c>
      <c r="B16" s="2">
        <v>93.15</v>
      </c>
      <c r="C16" s="2">
        <f t="shared" si="2"/>
        <v>46.575000000000003</v>
      </c>
      <c r="D16" s="2"/>
      <c r="H16" s="2" t="s">
        <v>28</v>
      </c>
      <c r="I16" s="2">
        <f>0.67+93.15</f>
        <v>93.820000000000007</v>
      </c>
      <c r="J16" s="2"/>
      <c r="K16" s="2">
        <f t="shared" si="1"/>
        <v>93.820000000000007</v>
      </c>
      <c r="L16" s="2">
        <f t="shared" si="5"/>
        <v>31.273333333333337</v>
      </c>
      <c r="M16" s="2"/>
    </row>
    <row r="17" spans="1:13" x14ac:dyDescent="0.55000000000000004">
      <c r="A17" s="2" t="s">
        <v>19</v>
      </c>
      <c r="B17" s="2">
        <v>100.61</v>
      </c>
      <c r="C17" s="2">
        <f t="shared" si="2"/>
        <v>50.305</v>
      </c>
      <c r="D17" s="2">
        <f t="shared" si="3"/>
        <v>12.57625</v>
      </c>
      <c r="E17" s="16">
        <v>4</v>
      </c>
      <c r="H17" s="2" t="s">
        <v>19</v>
      </c>
      <c r="I17" s="2">
        <v>115.61</v>
      </c>
      <c r="J17" s="2">
        <v>14.17</v>
      </c>
      <c r="K17" s="2">
        <f t="shared" si="1"/>
        <v>129.78</v>
      </c>
      <c r="L17" s="2">
        <f t="shared" si="5"/>
        <v>43.26</v>
      </c>
      <c r="M17" s="2">
        <f t="shared" si="6"/>
        <v>10.815</v>
      </c>
    </row>
    <row r="18" spans="1:13" x14ac:dyDescent="0.55000000000000004">
      <c r="A18" s="6" t="s">
        <v>21</v>
      </c>
      <c r="B18" s="6">
        <f>SUM(B19:B22)</f>
        <v>4188.9439999999995</v>
      </c>
      <c r="C18" s="6">
        <f t="shared" si="2"/>
        <v>2094.4719999999998</v>
      </c>
      <c r="D18" s="6">
        <f t="shared" si="3"/>
        <v>14.151837837837837</v>
      </c>
      <c r="E18" s="16">
        <v>148</v>
      </c>
      <c r="H18" s="6" t="s">
        <v>21</v>
      </c>
      <c r="I18" s="6">
        <f>SUM(I19:I22)</f>
        <v>4246.674</v>
      </c>
      <c r="J18" s="6">
        <f t="shared" ref="J18" si="7">SUM(J19:J22)</f>
        <v>128.26</v>
      </c>
      <c r="K18" s="6">
        <f t="shared" si="1"/>
        <v>4374.9340000000002</v>
      </c>
      <c r="L18" s="6">
        <f t="shared" si="5"/>
        <v>1458.3113333333333</v>
      </c>
      <c r="M18" s="6">
        <f t="shared" si="6"/>
        <v>9.8534549549549553</v>
      </c>
    </row>
    <row r="19" spans="1:13" x14ac:dyDescent="0.55000000000000004">
      <c r="A19" s="2" t="s">
        <v>7</v>
      </c>
      <c r="B19" s="2">
        <f>2822.814+535.79</f>
        <v>3358.6039999999998</v>
      </c>
      <c r="C19" s="2">
        <f t="shared" si="2"/>
        <v>1679.3019999999999</v>
      </c>
      <c r="D19" s="2">
        <f t="shared" si="3"/>
        <v>15.842471698113206</v>
      </c>
      <c r="E19" s="16">
        <v>106</v>
      </c>
      <c r="H19" s="2" t="s">
        <v>7</v>
      </c>
      <c r="I19" s="2">
        <f>2850.884+535.79</f>
        <v>3386.674</v>
      </c>
      <c r="J19" s="2">
        <f>62.28+62.16</f>
        <v>124.44</v>
      </c>
      <c r="K19" s="2">
        <f t="shared" si="1"/>
        <v>3511.114</v>
      </c>
      <c r="L19" s="2">
        <f t="shared" si="5"/>
        <v>1170.3713333333333</v>
      </c>
      <c r="M19" s="2">
        <f t="shared" si="6"/>
        <v>11.041238993710691</v>
      </c>
    </row>
    <row r="20" spans="1:13" x14ac:dyDescent="0.55000000000000004">
      <c r="A20" s="2" t="s">
        <v>9</v>
      </c>
      <c r="B20" s="2">
        <f>311.01+47.79</f>
        <v>358.8</v>
      </c>
      <c r="C20" s="2">
        <f t="shared" si="2"/>
        <v>179.4</v>
      </c>
      <c r="D20" s="2">
        <f t="shared" si="3"/>
        <v>10.552941176470588</v>
      </c>
      <c r="E20" s="16">
        <v>17</v>
      </c>
      <c r="H20" s="2" t="s">
        <v>9</v>
      </c>
      <c r="I20" s="2">
        <f>340.67+47.79</f>
        <v>388.46000000000004</v>
      </c>
      <c r="J20" s="2">
        <v>3.82</v>
      </c>
      <c r="K20" s="2">
        <f t="shared" si="1"/>
        <v>392.28000000000003</v>
      </c>
      <c r="L20" s="2">
        <f t="shared" si="5"/>
        <v>130.76000000000002</v>
      </c>
      <c r="M20" s="2">
        <f t="shared" si="6"/>
        <v>7.6917647058823544</v>
      </c>
    </row>
    <row r="21" spans="1:13" x14ac:dyDescent="0.55000000000000004">
      <c r="A21" s="2" t="s">
        <v>10</v>
      </c>
      <c r="B21" s="2">
        <f>290.52+41.62</f>
        <v>332.14</v>
      </c>
      <c r="C21" s="2">
        <f t="shared" si="2"/>
        <v>166.07</v>
      </c>
      <c r="D21" s="2">
        <f t="shared" si="3"/>
        <v>11.071333333333333</v>
      </c>
      <c r="E21" s="16">
        <v>15</v>
      </c>
      <c r="H21" s="2" t="s">
        <v>10</v>
      </c>
      <c r="I21" s="2">
        <f>290.52+41.62</f>
        <v>332.14</v>
      </c>
      <c r="J21" s="2"/>
      <c r="K21" s="2">
        <f t="shared" si="1"/>
        <v>332.14</v>
      </c>
      <c r="L21" s="2">
        <f t="shared" si="5"/>
        <v>110.71333333333332</v>
      </c>
      <c r="M21" s="2">
        <f t="shared" si="6"/>
        <v>7.3808888888888884</v>
      </c>
    </row>
    <row r="22" spans="1:13" x14ac:dyDescent="0.55000000000000004">
      <c r="A22" s="2" t="s">
        <v>12</v>
      </c>
      <c r="B22" s="2">
        <f>104.82+34.58</f>
        <v>139.39999999999998</v>
      </c>
      <c r="C22" s="2">
        <f t="shared" si="2"/>
        <v>69.699999999999989</v>
      </c>
      <c r="D22" s="2">
        <f t="shared" si="3"/>
        <v>6.9699999999999989</v>
      </c>
      <c r="E22" s="16">
        <v>10</v>
      </c>
      <c r="H22" s="2" t="s">
        <v>12</v>
      </c>
      <c r="I22" s="2">
        <f>104.82+34.58</f>
        <v>139.39999999999998</v>
      </c>
      <c r="J22" s="2"/>
      <c r="K22" s="2">
        <f t="shared" si="1"/>
        <v>139.39999999999998</v>
      </c>
      <c r="L22" s="2">
        <f t="shared" si="5"/>
        <v>46.466666666666661</v>
      </c>
      <c r="M22" s="2">
        <f t="shared" si="6"/>
        <v>4.6466666666666665</v>
      </c>
    </row>
    <row r="23" spans="1:13" x14ac:dyDescent="0.55000000000000004">
      <c r="A23" s="6" t="s">
        <v>22</v>
      </c>
      <c r="B23" s="6">
        <f>SUM(B24:B25)</f>
        <v>1365.5500000000002</v>
      </c>
      <c r="C23" s="6">
        <f t="shared" si="2"/>
        <v>682.77500000000009</v>
      </c>
      <c r="D23" s="6">
        <f t="shared" si="3"/>
        <v>13.93418367346939</v>
      </c>
      <c r="E23" s="16">
        <v>49</v>
      </c>
      <c r="H23" s="6" t="s">
        <v>22</v>
      </c>
      <c r="I23" s="6">
        <f>SUM(I24:I25)</f>
        <v>1379.38</v>
      </c>
      <c r="J23" s="6">
        <f t="shared" ref="J23" si="8">SUM(J24:J25)</f>
        <v>35</v>
      </c>
      <c r="K23" s="6">
        <f t="shared" si="1"/>
        <v>1414.38</v>
      </c>
      <c r="L23" s="6">
        <f t="shared" si="5"/>
        <v>471.46000000000004</v>
      </c>
      <c r="M23" s="6">
        <f t="shared" si="6"/>
        <v>9.6216326530612246</v>
      </c>
    </row>
    <row r="24" spans="1:13" x14ac:dyDescent="0.55000000000000004">
      <c r="A24" s="2" t="s">
        <v>11</v>
      </c>
      <c r="B24" s="2">
        <f>13.55+108.35</f>
        <v>121.89999999999999</v>
      </c>
      <c r="C24" s="2">
        <f t="shared" si="2"/>
        <v>60.949999999999996</v>
      </c>
      <c r="D24" s="2">
        <f t="shared" si="3"/>
        <v>4.6884615384615378</v>
      </c>
      <c r="E24" s="16">
        <v>13</v>
      </c>
      <c r="H24" s="2" t="s">
        <v>11</v>
      </c>
      <c r="I24" s="2">
        <f>26.88+108.35</f>
        <v>135.22999999999999</v>
      </c>
      <c r="J24" s="2"/>
      <c r="K24" s="2">
        <f t="shared" si="1"/>
        <v>135.22999999999999</v>
      </c>
      <c r="L24" s="2">
        <f t="shared" si="5"/>
        <v>45.076666666666661</v>
      </c>
      <c r="M24" s="2">
        <f t="shared" si="6"/>
        <v>3.4674358974358972</v>
      </c>
    </row>
    <row r="25" spans="1:13" x14ac:dyDescent="0.55000000000000004">
      <c r="A25" s="2" t="s">
        <v>8</v>
      </c>
      <c r="B25" s="2">
        <f>1062.45+181.2</f>
        <v>1243.6500000000001</v>
      </c>
      <c r="C25" s="2">
        <f t="shared" si="2"/>
        <v>621.82500000000005</v>
      </c>
      <c r="D25" s="2">
        <f t="shared" si="3"/>
        <v>17.272916666666667</v>
      </c>
      <c r="E25" s="16">
        <v>36</v>
      </c>
      <c r="H25" s="2" t="s">
        <v>8</v>
      </c>
      <c r="I25" s="2">
        <f>1062.95+181.2</f>
        <v>1244.1500000000001</v>
      </c>
      <c r="J25" s="2">
        <v>35</v>
      </c>
      <c r="K25" s="2">
        <f t="shared" si="1"/>
        <v>1279.1500000000001</v>
      </c>
      <c r="L25" s="2">
        <f t="shared" si="5"/>
        <v>426.38333333333338</v>
      </c>
      <c r="M25" s="2">
        <f t="shared" si="6"/>
        <v>11.843981481481483</v>
      </c>
    </row>
  </sheetData>
  <mergeCells count="8">
    <mergeCell ref="M2:M3"/>
    <mergeCell ref="H1:M1"/>
    <mergeCell ref="A1:D1"/>
    <mergeCell ref="C2:C3"/>
    <mergeCell ref="D2:D3"/>
    <mergeCell ref="K2:K3"/>
    <mergeCell ref="L2:L3"/>
    <mergeCell ref="E2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7372-CCAC-45FC-B914-9669201680D8}">
  <dimension ref="A1:F32"/>
  <sheetViews>
    <sheetView zoomScale="70" zoomScaleNormal="70" workbookViewId="0">
      <selection activeCell="E30" sqref="E30"/>
    </sheetView>
  </sheetViews>
  <sheetFormatPr defaultRowHeight="24" x14ac:dyDescent="0.55000000000000004"/>
  <cols>
    <col min="1" max="1" width="26" style="9" bestFit="1" customWidth="1"/>
    <col min="2" max="6" width="10.625" style="9" customWidth="1"/>
    <col min="7" max="16384" width="9" style="9"/>
  </cols>
  <sheetData>
    <row r="1" spans="1:6" ht="27.75" x14ac:dyDescent="0.65">
      <c r="A1" s="28" t="s">
        <v>38</v>
      </c>
      <c r="B1" s="28"/>
      <c r="C1" s="28"/>
      <c r="D1" s="28"/>
      <c r="E1" s="28"/>
      <c r="F1" s="28"/>
    </row>
    <row r="2" spans="1:6" x14ac:dyDescent="0.55000000000000004">
      <c r="A2" s="11"/>
      <c r="B2" s="10">
        <v>2561</v>
      </c>
      <c r="C2" s="10">
        <v>2562</v>
      </c>
      <c r="D2" s="10">
        <v>2563</v>
      </c>
      <c r="E2" s="10">
        <v>2564</v>
      </c>
      <c r="F2" s="10">
        <v>2565</v>
      </c>
    </row>
    <row r="3" spans="1:6" x14ac:dyDescent="0.55000000000000004">
      <c r="A3" s="13" t="s">
        <v>19</v>
      </c>
      <c r="B3" s="14">
        <f>SUM(B4,B15,B20)</f>
        <v>480</v>
      </c>
      <c r="C3" s="14">
        <f t="shared" ref="C3:F3" si="0">SUM(C4,C15,C20)</f>
        <v>496</v>
      </c>
      <c r="D3" s="14">
        <f t="shared" si="0"/>
        <v>499</v>
      </c>
      <c r="E3" s="14">
        <f t="shared" si="0"/>
        <v>500</v>
      </c>
      <c r="F3" s="14">
        <f t="shared" si="0"/>
        <v>502</v>
      </c>
    </row>
    <row r="4" spans="1:6" x14ac:dyDescent="0.55000000000000004">
      <c r="A4" s="6" t="s">
        <v>20</v>
      </c>
      <c r="B4" s="12">
        <f>SUM(B5:B14)</f>
        <v>283</v>
      </c>
      <c r="C4" s="12">
        <f t="shared" ref="C4:F4" si="1">SUM(C5:C14)</f>
        <v>287</v>
      </c>
      <c r="D4" s="12">
        <f t="shared" si="1"/>
        <v>289</v>
      </c>
      <c r="E4" s="12">
        <f t="shared" si="1"/>
        <v>284</v>
      </c>
      <c r="F4" s="12">
        <f t="shared" si="1"/>
        <v>290</v>
      </c>
    </row>
    <row r="5" spans="1:6" x14ac:dyDescent="0.55000000000000004">
      <c r="A5" s="11" t="s">
        <v>2</v>
      </c>
      <c r="B5" s="11">
        <v>63</v>
      </c>
      <c r="C5" s="11">
        <v>66</v>
      </c>
      <c r="D5" s="11">
        <v>65</v>
      </c>
      <c r="E5" s="11">
        <v>67</v>
      </c>
      <c r="F5" s="11">
        <v>62</v>
      </c>
    </row>
    <row r="6" spans="1:6" x14ac:dyDescent="0.55000000000000004">
      <c r="A6" s="11" t="s">
        <v>3</v>
      </c>
      <c r="B6" s="11">
        <v>104</v>
      </c>
      <c r="C6" s="11">
        <v>99</v>
      </c>
      <c r="D6" s="11">
        <v>98</v>
      </c>
      <c r="E6" s="11">
        <v>97</v>
      </c>
      <c r="F6" s="11">
        <v>99</v>
      </c>
    </row>
    <row r="7" spans="1:6" x14ac:dyDescent="0.55000000000000004">
      <c r="A7" s="11" t="s">
        <v>4</v>
      </c>
      <c r="B7" s="11">
        <v>34</v>
      </c>
      <c r="C7" s="11">
        <v>33</v>
      </c>
      <c r="D7" s="11">
        <v>34</v>
      </c>
      <c r="E7" s="11">
        <v>34</v>
      </c>
      <c r="F7" s="11">
        <v>35</v>
      </c>
    </row>
    <row r="8" spans="1:6" x14ac:dyDescent="0.55000000000000004">
      <c r="A8" s="11" t="s">
        <v>5</v>
      </c>
      <c r="B8" s="11">
        <v>25</v>
      </c>
      <c r="C8" s="11">
        <v>32</v>
      </c>
      <c r="D8" s="11">
        <v>32</v>
      </c>
      <c r="E8" s="11">
        <v>30</v>
      </c>
      <c r="F8" s="11">
        <v>33</v>
      </c>
    </row>
    <row r="9" spans="1:6" x14ac:dyDescent="0.55000000000000004">
      <c r="A9" s="11" t="s">
        <v>6</v>
      </c>
      <c r="B9" s="11">
        <v>42</v>
      </c>
      <c r="C9" s="11">
        <v>41</v>
      </c>
      <c r="D9" s="11">
        <v>41</v>
      </c>
      <c r="E9" s="11">
        <v>40</v>
      </c>
      <c r="F9" s="11">
        <v>40</v>
      </c>
    </row>
    <row r="10" spans="1:6" x14ac:dyDescent="0.55000000000000004">
      <c r="A10" s="11" t="s">
        <v>13</v>
      </c>
      <c r="B10" s="11">
        <v>7</v>
      </c>
      <c r="C10" s="11">
        <v>8</v>
      </c>
      <c r="D10" s="11">
        <v>11</v>
      </c>
      <c r="E10" s="11">
        <v>8</v>
      </c>
      <c r="F10" s="11">
        <v>11</v>
      </c>
    </row>
    <row r="11" spans="1:6" x14ac:dyDescent="0.55000000000000004">
      <c r="A11" s="11" t="s">
        <v>14</v>
      </c>
      <c r="B11" s="11">
        <v>1</v>
      </c>
      <c r="C11" s="11">
        <v>1</v>
      </c>
      <c r="D11" s="11">
        <v>2</v>
      </c>
      <c r="E11" s="11">
        <v>1</v>
      </c>
      <c r="F11" s="11">
        <v>2</v>
      </c>
    </row>
    <row r="12" spans="1:6" x14ac:dyDescent="0.55000000000000004">
      <c r="A12" s="11" t="s">
        <v>15</v>
      </c>
      <c r="B12" s="11">
        <v>3</v>
      </c>
      <c r="C12" s="11">
        <v>2</v>
      </c>
      <c r="D12" s="11">
        <v>2</v>
      </c>
      <c r="E12" s="11">
        <v>2</v>
      </c>
      <c r="F12" s="11">
        <v>2</v>
      </c>
    </row>
    <row r="13" spans="1:6" x14ac:dyDescent="0.55000000000000004">
      <c r="A13" s="11" t="s">
        <v>36</v>
      </c>
      <c r="B13" s="11">
        <v>4</v>
      </c>
      <c r="C13" s="11">
        <v>4</v>
      </c>
      <c r="D13" s="11">
        <v>3</v>
      </c>
      <c r="E13" s="11">
        <v>4</v>
      </c>
      <c r="F13" s="11">
        <v>6</v>
      </c>
    </row>
    <row r="14" spans="1:6" x14ac:dyDescent="0.55000000000000004">
      <c r="A14" s="11" t="s">
        <v>37</v>
      </c>
      <c r="B14" s="11">
        <v>0</v>
      </c>
      <c r="C14" s="11">
        <v>1</v>
      </c>
      <c r="D14" s="11">
        <v>1</v>
      </c>
      <c r="E14" s="11">
        <v>1</v>
      </c>
      <c r="F14" s="11"/>
    </row>
    <row r="15" spans="1:6" x14ac:dyDescent="0.55000000000000004">
      <c r="A15" s="6" t="s">
        <v>21</v>
      </c>
      <c r="B15" s="12">
        <f>SUM(B16:B19)</f>
        <v>148</v>
      </c>
      <c r="C15" s="12">
        <f t="shared" ref="C15:F15" si="2">SUM(C16:C19)</f>
        <v>157</v>
      </c>
      <c r="D15" s="12">
        <f t="shared" si="2"/>
        <v>154</v>
      </c>
      <c r="E15" s="12">
        <f t="shared" si="2"/>
        <v>160</v>
      </c>
      <c r="F15" s="12">
        <f t="shared" si="2"/>
        <v>151</v>
      </c>
    </row>
    <row r="16" spans="1:6" x14ac:dyDescent="0.55000000000000004">
      <c r="A16" s="11" t="s">
        <v>7</v>
      </c>
      <c r="B16" s="11">
        <v>106</v>
      </c>
      <c r="C16" s="11">
        <v>108</v>
      </c>
      <c r="D16" s="11">
        <v>105</v>
      </c>
      <c r="E16" s="11">
        <v>111</v>
      </c>
      <c r="F16" s="11">
        <v>105</v>
      </c>
    </row>
    <row r="17" spans="1:6" x14ac:dyDescent="0.55000000000000004">
      <c r="A17" s="11" t="s">
        <v>9</v>
      </c>
      <c r="B17" s="11">
        <v>17</v>
      </c>
      <c r="C17" s="11">
        <v>17</v>
      </c>
      <c r="D17" s="11">
        <v>18</v>
      </c>
      <c r="E17" s="11">
        <v>18</v>
      </c>
      <c r="F17" s="11">
        <v>15</v>
      </c>
    </row>
    <row r="18" spans="1:6" x14ac:dyDescent="0.55000000000000004">
      <c r="A18" s="11" t="s">
        <v>10</v>
      </c>
      <c r="B18" s="11">
        <v>15</v>
      </c>
      <c r="C18" s="11">
        <v>18</v>
      </c>
      <c r="D18" s="11">
        <v>17</v>
      </c>
      <c r="E18" s="11">
        <v>17</v>
      </c>
      <c r="F18" s="11">
        <v>18</v>
      </c>
    </row>
    <row r="19" spans="1:6" x14ac:dyDescent="0.55000000000000004">
      <c r="A19" s="11" t="s">
        <v>12</v>
      </c>
      <c r="B19" s="11">
        <v>10</v>
      </c>
      <c r="C19" s="11">
        <v>14</v>
      </c>
      <c r="D19" s="11">
        <v>14</v>
      </c>
      <c r="E19" s="11">
        <v>14</v>
      </c>
      <c r="F19" s="11">
        <v>13</v>
      </c>
    </row>
    <row r="20" spans="1:6" x14ac:dyDescent="0.55000000000000004">
      <c r="A20" s="6" t="s">
        <v>22</v>
      </c>
      <c r="B20" s="12">
        <f>SUM(B21:B22)</f>
        <v>49</v>
      </c>
      <c r="C20" s="12">
        <f t="shared" ref="C20:F20" si="3">SUM(C21:C22)</f>
        <v>52</v>
      </c>
      <c r="D20" s="12">
        <f t="shared" si="3"/>
        <v>56</v>
      </c>
      <c r="E20" s="12">
        <f t="shared" si="3"/>
        <v>56</v>
      </c>
      <c r="F20" s="12">
        <f t="shared" si="3"/>
        <v>61</v>
      </c>
    </row>
    <row r="21" spans="1:6" x14ac:dyDescent="0.55000000000000004">
      <c r="A21" s="11" t="s">
        <v>11</v>
      </c>
      <c r="B21" s="11">
        <v>13</v>
      </c>
      <c r="C21" s="11">
        <v>16</v>
      </c>
      <c r="D21" s="11">
        <v>20</v>
      </c>
      <c r="E21" s="11">
        <v>19</v>
      </c>
      <c r="F21" s="11">
        <v>25</v>
      </c>
    </row>
    <row r="22" spans="1:6" x14ac:dyDescent="0.55000000000000004">
      <c r="A22" s="11" t="s">
        <v>8</v>
      </c>
      <c r="B22" s="11">
        <v>36</v>
      </c>
      <c r="C22" s="11">
        <v>36</v>
      </c>
      <c r="D22" s="11">
        <v>36</v>
      </c>
      <c r="E22" s="11">
        <v>37</v>
      </c>
      <c r="F22" s="11">
        <v>36</v>
      </c>
    </row>
    <row r="24" spans="1:6" x14ac:dyDescent="0.55000000000000004">
      <c r="A24" s="19" t="s">
        <v>40</v>
      </c>
    </row>
    <row r="25" spans="1:6" x14ac:dyDescent="0.55000000000000004">
      <c r="A25" s="20" t="s">
        <v>39</v>
      </c>
    </row>
    <row r="26" spans="1:6" x14ac:dyDescent="0.55000000000000004">
      <c r="A26" s="20" t="s">
        <v>41</v>
      </c>
    </row>
    <row r="27" spans="1:6" x14ac:dyDescent="0.55000000000000004">
      <c r="A27" s="20" t="s">
        <v>42</v>
      </c>
    </row>
    <row r="28" spans="1:6" x14ac:dyDescent="0.55000000000000004">
      <c r="A28" s="20" t="s">
        <v>43</v>
      </c>
    </row>
    <row r="29" spans="1:6" x14ac:dyDescent="0.55000000000000004">
      <c r="A29" s="20" t="s">
        <v>44</v>
      </c>
      <c r="C29" s="15"/>
    </row>
    <row r="30" spans="1:6" x14ac:dyDescent="0.55000000000000004">
      <c r="C30" s="15"/>
    </row>
    <row r="31" spans="1:6" x14ac:dyDescent="0.55000000000000004">
      <c r="C31" s="15"/>
    </row>
    <row r="32" spans="1:6" x14ac:dyDescent="0.55000000000000004">
      <c r="C32" s="15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2565</vt:lpstr>
      <vt:lpstr>2564</vt:lpstr>
      <vt:lpstr>2563</vt:lpstr>
      <vt:lpstr>2562</vt:lpstr>
      <vt:lpstr>2561</vt:lpstr>
      <vt:lpstr>อาจารย์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dcterms:created xsi:type="dcterms:W3CDTF">2022-12-27T10:51:58Z</dcterms:created>
  <dcterms:modified xsi:type="dcterms:W3CDTF">2023-02-01T06:56:24Z</dcterms:modified>
</cp:coreProperties>
</file>